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" yWindow="612" windowWidth="19044" windowHeight="8472" activeTab="0"/>
  </bookViews>
  <sheets>
    <sheet name="G12.1" sheetId="1" r:id="rId1"/>
    <sheet name="G12.2" sheetId="2" r:id="rId2"/>
    <sheet name="G12.3" sheetId="3" r:id="rId3"/>
    <sheet name="G12.4" sheetId="4" r:id="rId4"/>
    <sheet name="G12.5" sheetId="5" r:id="rId5"/>
    <sheet name="G12.6" sheetId="6" r:id="rId6"/>
    <sheet name="T12.1" sheetId="7" r:id="rId7"/>
    <sheet name="T12.2" sheetId="8" r:id="rId8"/>
    <sheet name="TS12.1" sheetId="9" r:id="rId9"/>
    <sheet name="TS12.2" sheetId="10" r:id="rId10"/>
    <sheet name="TS12.3" sheetId="11" r:id="rId11"/>
    <sheet name="TS12.4" sheetId="12" r:id="rId12"/>
    <sheet name="TS12.5" sheetId="13" r:id="rId13"/>
    <sheet name="DetailsTS12.2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uthor" hidden="1">"Ken Oliver"</definedName>
    <definedName name="column_head">#REF!</definedName>
    <definedName name="column_headings">#REF!</definedName>
    <definedName name="column_numbers">#REF!</definedName>
    <definedName name="data">#REF!</definedName>
    <definedName name="data2">#REF!</definedName>
    <definedName name="Diag">#REF!,#REF!</definedName>
    <definedName name="ea_flux">#REF!</definedName>
    <definedName name="Equilibre">#REF!</definedName>
    <definedName name="females">'[5]rba table'!$I$10:$I$49</definedName>
    <definedName name="fig4b">#REF!</definedName>
    <definedName name="fmtr">#REF!</definedName>
    <definedName name="footno">#REF!</definedName>
    <definedName name="footnotes">#REF!</definedName>
    <definedName name="footnotes2">#REF!</definedName>
    <definedName name="GEOG9703">#REF!</definedName>
    <definedName name="HTML_CodePage" hidden="1">1252</definedName>
    <definedName name="HTML_Control" localSheetId="6" hidden="1">{"'swa xoffs'!$A$4:$Q$37"}</definedName>
    <definedName name="HTML_Control" localSheetId="7" hidden="1">{"'swa xoffs'!$A$4:$Q$37"}</definedName>
    <definedName name="HTML_Control" localSheetId="8" hidden="1">{"'swa xoffs'!$A$4:$Q$37"}</definedName>
    <definedName name="HTML_Control" localSheetId="9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males">'[5]rba table'!$C$10:$C$49</definedName>
    <definedName name="PIB">#REF!</definedName>
    <definedName name="Rentflag">IF('[6]Comparison'!$B$7,"","not ")</definedName>
    <definedName name="ressources">#REF!</definedName>
    <definedName name="rpflux">#REF!</definedName>
    <definedName name="rptof">#REF!</definedName>
    <definedName name="spanners_level1">#REF!</definedName>
    <definedName name="spanners_level2">#REF!</definedName>
    <definedName name="spanners_level3">#REF!</definedName>
    <definedName name="spanners_level4">#REF!</definedName>
    <definedName name="spanners_level5">#REF!</definedName>
    <definedName name="spanners_levelV">#REF!</definedName>
    <definedName name="spanners_levelX">#REF!</definedName>
    <definedName name="spanners_levelY">#REF!</definedName>
    <definedName name="spanners_levelZ">#REF!</definedName>
    <definedName name="stub_lines">#REF!</definedName>
    <definedName name="Table_DE.4b__Sources_of_private_wealth_accumulation_in_Germany__1870_2010___Multiplicative_decomposition">'[9]TableDE4b'!$A$3</definedName>
    <definedName name="temp">#REF!</definedName>
    <definedName name="titles">#REF!</definedName>
    <definedName name="totals">#REF!</definedName>
    <definedName name="Version" hidden="1">37448</definedName>
    <definedName name="xxx">#REF!</definedName>
    <definedName name="Year">'[6]Output'!$C$4:$C$38</definedName>
    <definedName name="YearLabel">'[6]Output'!$B$15</definedName>
  </definedNames>
  <calcPr fullCalcOnLoad="1"/>
</workbook>
</file>

<file path=xl/sharedStrings.xml><?xml version="1.0" encoding="utf-8"?>
<sst xmlns="http://schemas.openxmlformats.org/spreadsheetml/2006/main" count="213" uniqueCount="146">
  <si>
    <t>Europe</t>
  </si>
  <si>
    <t>Amérique</t>
  </si>
  <si>
    <t>Afrique</t>
  </si>
  <si>
    <t>Asie</t>
  </si>
  <si>
    <t>Europe de l'Ouest</t>
  </si>
  <si>
    <t>Europe de l'Est</t>
  </si>
  <si>
    <t>Russie (+Ukraine/ Biélorussie/ Moldavie)</t>
  </si>
  <si>
    <t>Amérique du Nord</t>
  </si>
  <si>
    <t>Amérique Latine</t>
  </si>
  <si>
    <t>Afrique du Nord</t>
  </si>
  <si>
    <t>Afrique Sub-saharienne</t>
  </si>
  <si>
    <t>Chine</t>
  </si>
  <si>
    <t>Inde</t>
  </si>
  <si>
    <t>Japon</t>
  </si>
  <si>
    <t>Australie/NZ</t>
  </si>
  <si>
    <t>Moyen Orient (y.c. Turquie)</t>
  </si>
  <si>
    <t>Asie Centrale</t>
  </si>
  <si>
    <t>Autres pays d'Asie</t>
  </si>
  <si>
    <t>USA</t>
  </si>
  <si>
    <t>Total</t>
  </si>
  <si>
    <t>Répartition du PIB mondial</t>
  </si>
  <si>
    <t>Wealth/income ratios: Europe et Amérique du Nord 1870-2010: Table S4.5; Japon et Australie 1970-2010: Table S5.1 (moyennes décennales); liens cassés le 8-2-2013</t>
  </si>
  <si>
    <t>Published NABUCO data</t>
  </si>
  <si>
    <t>Own computations</t>
  </si>
  <si>
    <t>see pdf files and printed copies</t>
  </si>
  <si>
    <t>2000-2010</t>
  </si>
  <si>
    <t>1990-2000</t>
  </si>
  <si>
    <t>1980-1990</t>
  </si>
  <si>
    <t>1980-2010</t>
  </si>
  <si>
    <t>1990-2010</t>
  </si>
  <si>
    <t>1980-2000</t>
  </si>
  <si>
    <t>Nominal return ($ weighted)</t>
  </si>
  <si>
    <t>Nominal return (equal weighted)</t>
  </si>
  <si>
    <t>CPI</t>
  </si>
  <si>
    <t>Real return ($ weighted)</t>
  </si>
  <si>
    <t>Real return (equal weighted)</t>
  </si>
  <si>
    <t>Nominal:</t>
  </si>
  <si>
    <t>Over 1 bil. $</t>
  </si>
  <si>
    <t>500m-1b$</t>
  </si>
  <si>
    <t>100m-500m$</t>
  </si>
  <si>
    <t>0-100m$</t>
  </si>
  <si>
    <t>Real:</t>
  </si>
  <si>
    <t>Harvard</t>
  </si>
  <si>
    <t>Yale</t>
  </si>
  <si>
    <t>Princeton</t>
  </si>
  <si>
    <t xml:space="preserve">Yale: see Yale Report 2010 p.3; Yale Report 2000 p.4 </t>
  </si>
  <si>
    <t>Princeton: see Princeton Report 2010 pp.18-19;</t>
  </si>
  <si>
    <t>Harvard: see official Harvard reports</t>
  </si>
  <si>
    <t>meanage</t>
  </si>
  <si>
    <t>minwealth</t>
  </si>
  <si>
    <t>maxwealth</t>
  </si>
  <si>
    <t>meanwealth</t>
  </si>
  <si>
    <t>Top 100 minwealth</t>
  </si>
  <si>
    <t>Top 100 meanwealth</t>
  </si>
  <si>
    <t>Ratio</t>
  </si>
  <si>
    <t>Population mondiale (UN official population series)</t>
  </si>
  <si>
    <t>Top 1/20M</t>
  </si>
  <si>
    <t>Min top 1/20M</t>
  </si>
  <si>
    <t>Mean top 1/20M</t>
  </si>
  <si>
    <t>World GDP (current $, market exchange rate, W1)</t>
  </si>
  <si>
    <t>World GDP (current $, PPP, W2)</t>
  </si>
  <si>
    <t>World GDP (current €, market exchange rate, W6)</t>
  </si>
  <si>
    <t>2013/1987</t>
  </si>
  <si>
    <t>2010/1990</t>
  </si>
  <si>
    <t>World Wealth (current millions $, PPP)</t>
  </si>
  <si>
    <t>Top 1/100M</t>
  </si>
  <si>
    <t>Min top 1/100M</t>
  </si>
  <si>
    <t>Tableau 12.2. Le rendement des dotations en capital des universités américaines, 1980-2010</t>
  </si>
  <si>
    <t>Période 1980-2010</t>
  </si>
  <si>
    <t>Période 1990-2010</t>
  </si>
  <si>
    <t>dont: Harvard-Yale-Princeton</t>
  </si>
  <si>
    <t>dont: dotations supérieures à 1 milliard $ (60)</t>
  </si>
  <si>
    <t>dont: dotations comprises entre 500 millions et 1 milliard $ (66)</t>
  </si>
  <si>
    <t>dont: dotations comprises entre 100 et 500 millions de $ (226)</t>
  </si>
  <si>
    <t>dont: dotations inférieures à 100 millions de $ (498)</t>
  </si>
  <si>
    <t xml:space="preserve">Toutes universités confondues (850)                                                  </t>
  </si>
  <si>
    <r>
      <t xml:space="preserve">Taux de rendement réel             moyen annuel                                </t>
    </r>
    <r>
      <rPr>
        <i/>
        <sz val="12"/>
        <rFont val="Arial Narrow"/>
        <family val="2"/>
      </rPr>
      <t>(après déduction des frais de gestion et de l'inflation)</t>
    </r>
  </si>
  <si>
    <t>Tableau 12.1. Le taux de croissance des plus hauts patrimoines mondiaux, 1987-2013</t>
  </si>
  <si>
    <t>Période 1987-2013</t>
  </si>
  <si>
    <t>PIB mondial</t>
  </si>
  <si>
    <t>World GDP per capita (current PPP $)</t>
  </si>
  <si>
    <t>World wealth per capita (current PPP $)</t>
  </si>
  <si>
    <r>
      <t xml:space="preserve">Taux de croissance                          réel moyen annuel                                </t>
    </r>
    <r>
      <rPr>
        <i/>
        <sz val="12"/>
        <rFont val="Arial Narrow"/>
        <family val="2"/>
      </rPr>
      <t>(après déduction de l'inflation)</t>
    </r>
  </si>
  <si>
    <t>Price index PPP</t>
  </si>
  <si>
    <t>Price index MER</t>
  </si>
  <si>
    <t>GDP deflator</t>
  </si>
  <si>
    <t>(2-4-13) Be careful: to be consistent with GDP series, I have replaced CPI by GDP deflator on this table</t>
  </si>
  <si>
    <t>Be careful: net product = 90% gross product</t>
  </si>
  <si>
    <t>World GDP (constant 2012 $, market exchange rate, W4)</t>
  </si>
  <si>
    <t>World GDP (constant 2012 $, PPP, W5)</t>
  </si>
  <si>
    <t>World GDP (constant 2012 €, PPP, W7)</t>
  </si>
  <si>
    <t>World GDP per capita (constant 2012 €, PPP, W7)</t>
  </si>
  <si>
    <t>World wealth per capita (constant 2012 €, PPP, W7)</t>
  </si>
  <si>
    <t>World wealth (constant 2012 €, PPP, W7)</t>
  </si>
  <si>
    <t>%Pop Adulte (UN official series)</t>
  </si>
  <si>
    <t>Population adulte mondiale (UN official population series)</t>
  </si>
  <si>
    <t>Patrimoine moyen mondial par habitant adulte</t>
  </si>
  <si>
    <t>Revenu moyen mondial par habitant adulte</t>
  </si>
  <si>
    <t>Population adulte mondiale</t>
  </si>
  <si>
    <t>World wealth (current $, market exchange rate, W1)</t>
  </si>
  <si>
    <t>Wealth/Income Ratio (Table S12.1 for 1990-2000-2010 + linear interpolations)</t>
  </si>
  <si>
    <r>
      <t xml:space="preserve">Les un cent millionièmes les plus riches </t>
    </r>
    <r>
      <rPr>
        <sz val="10"/>
        <rFont val="Arial"/>
        <family val="2"/>
      </rPr>
      <t xml:space="preserve">(environ 30 personnes adultes sur 3 milliards dans les années 1980, 45 personnes sur 4,5 milliards dans les années 2010)    </t>
    </r>
    <r>
      <rPr>
        <sz val="14"/>
        <rFont val="Arial"/>
        <family val="2"/>
      </rPr>
      <t xml:space="preserve">                                            </t>
    </r>
  </si>
  <si>
    <r>
      <t xml:space="preserve">Les un vingt millionièmes les plus riches </t>
    </r>
    <r>
      <rPr>
        <sz val="10"/>
        <rFont val="Arial"/>
        <family val="2"/>
      </rPr>
      <t xml:space="preserve">(environ 150 personnes adultes sur 3 milliards dans les années 1980, 225 personnes sur 4,5 milliards dans les années 2010)    </t>
    </r>
    <r>
      <rPr>
        <sz val="14"/>
        <rFont val="Arial"/>
        <family val="2"/>
      </rPr>
      <t xml:space="preserve">                                            </t>
    </r>
  </si>
  <si>
    <t>Répartition du PIB mondial: Tableau S1.1 (1870-2010); Tableau CTS1.3 (2030-2100); liens cassés le 7-4-2013</t>
  </si>
  <si>
    <t>Taux d'épargne 2010-2100</t>
  </si>
  <si>
    <t>World GDP (billions € 2012 PPP)</t>
  </si>
  <si>
    <t>2010-2020</t>
  </si>
  <si>
    <t>2020-2030</t>
  </si>
  <si>
    <t>2030-2040</t>
  </si>
  <si>
    <t>2040-2050</t>
  </si>
  <si>
    <t>2050-2060</t>
  </si>
  <si>
    <t>2060-2070</t>
  </si>
  <si>
    <t>2070-2080</t>
  </si>
  <si>
    <t>2080-2090</t>
  </si>
  <si>
    <t>2090-2100</t>
  </si>
  <si>
    <t>Private wealth (% Y)</t>
  </si>
  <si>
    <t>Nationa wealth (% Y)</t>
  </si>
  <si>
    <t>Govt wealth (% Y)</t>
  </si>
  <si>
    <t>Govt wealth (% W)</t>
  </si>
  <si>
    <t>Capital privé /revenu mondial</t>
  </si>
  <si>
    <t>Tableau S12.1. Le taux de croissance des plus hauts patrimoines mondiaux, 1987-2013</t>
  </si>
  <si>
    <r>
      <t xml:space="preserve">Lecture: de 1980 à 2010, les universités américaines ont obtenu un rendement réel moyen de 8,2% sur leur dotation en capital, d'autant plus élevé que leur dotation initiale était importante. Les rendements indiqués sont nets de tous les frais de gestion, et nets de l'inflation (2,4% par an de 1980 à 2010). </t>
    </r>
    <r>
      <rPr>
        <sz val="10"/>
        <rFont val="Arial Narrow"/>
        <family val="2"/>
      </rPr>
      <t>Sources: voir piketty.pse.ens.fr/capital21c.</t>
    </r>
  </si>
  <si>
    <r>
      <t xml:space="preserve">Lecture: de 1987 à 2013, les plus hauts patrimoines mondiaux ont progressé de 6%-7% par an, contre 2,1% par an pour le patrimoine moyen mondial et 1,4% par an pour le revenu moyen mondial. Tous ces taux de croissance sont nets de l'inflation (soit 2,3% par an de 1987 à 2013). </t>
    </r>
    <r>
      <rPr>
        <sz val="10"/>
        <rFont val="Arial Narrow"/>
        <family val="2"/>
      </rPr>
      <t xml:space="preserve">Sources: voir piketty.pse.ens.fr/capital21c. </t>
    </r>
  </si>
  <si>
    <r>
      <t xml:space="preserve">Lecture: de 1987 à 2013, les plus hauts patrimoines mondiaux ont progressé de 6%-7% par an, contre 2,1% par an pour le patrimoine moyen mondial et 1,4% par an pour le revenu moyen mondial. Tous ces taux de croissance sont nets de l'inflation (soit 2,3% par an de 1987 à 2013). </t>
    </r>
    <r>
      <rPr>
        <sz val="10"/>
        <rFont val="Arial"/>
        <family val="2"/>
      </rPr>
      <t>Sources: voir piketty.pse.ens.fr/capital21c.</t>
    </r>
  </si>
  <si>
    <r>
      <t xml:space="preserve">Lecture: de 1980 à 2010, les universités américaines ont obtenu un rendement réel moyen de 7,7% sur leur dotation en capital, d'autant plus élevé que leur dotation initiale était de 1980 à 2010, les universités américaines ont obtenu un rendement réel moyen de 8,2% sur leur dotation en capital, d'autant plus élevé que leur dotation initiale était importante. Les rendements indiqués sont nets de tous les frais de gestion, et nets de l'inflation (2,4% par an de 1980 à 2010). </t>
    </r>
    <r>
      <rPr>
        <sz val="10"/>
        <rFont val="Arial"/>
        <family val="2"/>
      </rPr>
      <t>Sources: voir piketty.pse.ens.fr/capital21c.</t>
    </r>
  </si>
  <si>
    <t>Tableau S12.2. Le rendement des dotations en capital des universités américaines, 1980-2010</t>
  </si>
  <si>
    <t>Capital privé /revenu national</t>
  </si>
  <si>
    <t>Monde</t>
  </si>
  <si>
    <t>Detailed computations using Forbes rankings 1987-2013 (source: Forbes website and Daniel Waldestrom 1988-2010 database)</t>
  </si>
  <si>
    <t>Detailed computations based upon NACUBO All-US-Universities endowment statistics (www.nabuco.org)</t>
  </si>
  <si>
    <t>Source: Zucman 2013, Figure 1 andAppendix Table A27</t>
  </si>
  <si>
    <t>Actifs étrangers nets (en % du PIB mondial)</t>
  </si>
  <si>
    <t>Etats-Unis</t>
  </si>
  <si>
    <t>Pays riches (Europe + Etats-Unis + Japon)</t>
  </si>
  <si>
    <t>Paradis fiscaux</t>
  </si>
  <si>
    <t>Tableau S12.5. Actifs étrangers nets détenus par les pays riches et les paradis fiscaux (séries utilisées pour le graphique 12.6)</t>
  </si>
  <si>
    <t>Tableau S12.4a. Le rapport (capital privé)/(revenu national) au niveau mondial, 1870-2100 (estimations) (séries utilisées pour le graphique 12.4)</t>
  </si>
  <si>
    <t>Tableau S12.4b. La répartition du PIB mondial, 1870-2100 (estimations)</t>
  </si>
  <si>
    <t>Tableau S12.4c. La répartition du capital privé mondial, 1870-2100 (estimations) (séries utilisées pour le graphique 12.5)</t>
  </si>
  <si>
    <t>Tableau S12.3. La croissance des plus hauts patrimoines mondiaux d'après les classements Forbes, 1987-2013                                                                                                         (séries utilisées pour les graphiques 12.1-12.3)</t>
  </si>
  <si>
    <t>Nombre total de milliardaires en dollars</t>
  </si>
  <si>
    <t>Patrimoine total en milliards de dollars</t>
  </si>
  <si>
    <t>Patrimoine total en % du patrimoine privé mondial</t>
  </si>
  <si>
    <t>Nombre de milliardaires pour 100 millions d'habitants</t>
  </si>
  <si>
    <t>Part du un vingt millionième dans le patrimoine privé mondial</t>
  </si>
  <si>
    <t>Part du un cent millionième dans le patrimoine privé mondial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</si>
</sst>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\ ;\(\$#,##0\)"/>
    <numFmt numFmtId="165" formatCode="0.0%"/>
    <numFmt numFmtId="166" formatCode="#,##0.0"/>
    <numFmt numFmtId="167" formatCode="0.0"/>
    <numFmt numFmtId="168" formatCode="0.000%"/>
  </numFmts>
  <fonts count="49"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7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name val="Arial"/>
      <family val="2"/>
    </font>
    <font>
      <i/>
      <sz val="14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i/>
      <sz val="12"/>
      <name val="Arial Narrow"/>
      <family val="2"/>
    </font>
    <font>
      <sz val="10"/>
      <name val="Arial Narrow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0"/>
    </font>
    <font>
      <b/>
      <sz val="15"/>
      <color indexed="8"/>
      <name val="Arial"/>
      <family val="0"/>
    </font>
    <font>
      <sz val="11.8"/>
      <color indexed="8"/>
      <name val="Arial"/>
      <family val="0"/>
    </font>
    <font>
      <sz val="10"/>
      <color indexed="8"/>
      <name val="Arial Narrow"/>
      <family val="0"/>
    </font>
    <font>
      <b/>
      <sz val="16"/>
      <color indexed="8"/>
      <name val="Arial"/>
      <family val="0"/>
    </font>
    <font>
      <b/>
      <sz val="14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thick"/>
      <top style="thick"/>
      <bottom style="thick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14" borderId="1" applyNumberFormat="0" applyAlignment="0" applyProtection="0"/>
    <xf numFmtId="0" fontId="6" fillId="14" borderId="1" applyNumberFormat="0" applyAlignment="0" applyProtection="0"/>
    <xf numFmtId="0" fontId="7" fillId="0" borderId="2" applyNumberFormat="0" applyFill="0" applyAlignment="0" applyProtection="0"/>
    <xf numFmtId="0" fontId="8" fillId="22" borderId="3" applyNumberFormat="0" applyAlignment="0" applyProtection="0"/>
    <xf numFmtId="0" fontId="0" fillId="23" borderId="4" applyNumberFormat="0" applyFont="0" applyAlignment="0" applyProtection="0"/>
    <xf numFmtId="0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0" applyNumberFormat="0" applyFill="0" applyBorder="0" applyAlignment="0" applyProtection="0"/>
    <xf numFmtId="3" fontId="9" fillId="0" borderId="0" applyFont="0" applyFill="0" applyBorder="0" applyAlignment="0" applyProtection="0"/>
    <xf numFmtId="0" fontId="5" fillId="7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2" fillId="3" borderId="1" applyNumberFormat="0" applyAlignment="0" applyProtection="0"/>
    <xf numFmtId="0" fontId="4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9" fillId="0" borderId="0">
      <alignment/>
      <protection/>
    </xf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23" borderId="4" applyNumberFormat="0" applyFont="0" applyAlignment="0" applyProtection="0"/>
    <xf numFmtId="0" fontId="21" fillId="14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3" borderId="4" applyNumberFormat="0" applyFont="0" applyAlignment="0" applyProtection="0"/>
    <xf numFmtId="0" fontId="5" fillId="7" borderId="0" applyNumberFormat="0" applyBorder="0" applyAlignment="0" applyProtection="0"/>
    <xf numFmtId="0" fontId="21" fillId="14" borderId="8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2" fillId="0" borderId="9">
      <alignment horizontal="center"/>
      <protection/>
    </xf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8" fillId="22" borderId="3" applyNumberFormat="0" applyAlignment="0" applyProtection="0"/>
    <xf numFmtId="0" fontId="8" fillId="22" borderId="3" applyNumberFormat="0" applyAlignment="0" applyProtection="0"/>
    <xf numFmtId="2" fontId="9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9" fillId="0" borderId="0" xfId="98">
      <alignment/>
      <protection/>
    </xf>
    <xf numFmtId="0" fontId="26" fillId="0" borderId="11" xfId="98" applyFont="1" applyBorder="1">
      <alignment/>
      <protection/>
    </xf>
    <xf numFmtId="0" fontId="26" fillId="0" borderId="0" xfId="98" applyFont="1" applyBorder="1" applyAlignment="1">
      <alignment horizontal="center"/>
      <protection/>
    </xf>
    <xf numFmtId="0" fontId="26" fillId="0" borderId="12" xfId="98" applyFont="1" applyBorder="1" applyAlignment="1">
      <alignment horizontal="center"/>
      <protection/>
    </xf>
    <xf numFmtId="0" fontId="19" fillId="0" borderId="0" xfId="98" applyFill="1">
      <alignment/>
      <protection/>
    </xf>
    <xf numFmtId="0" fontId="19" fillId="0" borderId="0" xfId="98" applyBorder="1">
      <alignment/>
      <protection/>
    </xf>
    <xf numFmtId="3" fontId="19" fillId="0" borderId="0" xfId="98" applyNumberFormat="1" applyBorder="1">
      <alignment/>
      <protection/>
    </xf>
    <xf numFmtId="3" fontId="19" fillId="0" borderId="0" xfId="98" applyNumberFormat="1">
      <alignment/>
      <protection/>
    </xf>
    <xf numFmtId="0" fontId="19" fillId="0" borderId="13" xfId="97" applyFont="1" applyBorder="1" applyAlignment="1">
      <alignment horizontal="center" vertical="center" wrapText="1"/>
      <protection/>
    </xf>
    <xf numFmtId="0" fontId="19" fillId="0" borderId="14" xfId="97" applyFont="1" applyBorder="1" applyAlignment="1">
      <alignment horizontal="center" vertical="center" wrapText="1"/>
      <protection/>
    </xf>
    <xf numFmtId="0" fontId="19" fillId="0" borderId="15" xfId="97" applyFont="1" applyBorder="1" applyAlignment="1">
      <alignment horizontal="center" vertical="center" wrapText="1"/>
      <protection/>
    </xf>
    <xf numFmtId="0" fontId="19" fillId="0" borderId="16" xfId="97" applyFont="1" applyBorder="1" applyAlignment="1">
      <alignment horizontal="center" vertical="center" wrapText="1"/>
      <protection/>
    </xf>
    <xf numFmtId="0" fontId="19" fillId="0" borderId="17" xfId="97" applyFont="1" applyBorder="1" applyAlignment="1">
      <alignment horizontal="center" vertical="center" wrapText="1"/>
      <protection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/>
    </xf>
    <xf numFmtId="9" fontId="31" fillId="0" borderId="11" xfId="0" applyNumberFormat="1" applyFont="1" applyBorder="1" applyAlignment="1">
      <alignment horizontal="center"/>
    </xf>
    <xf numFmtId="9" fontId="31" fillId="0" borderId="0" xfId="0" applyNumberFormat="1" applyFont="1" applyBorder="1" applyAlignment="1">
      <alignment horizontal="center"/>
    </xf>
    <xf numFmtId="9" fontId="31" fillId="0" borderId="12" xfId="0" applyNumberFormat="1" applyFont="1" applyBorder="1" applyAlignment="1">
      <alignment horizontal="center"/>
    </xf>
    <xf numFmtId="9" fontId="31" fillId="0" borderId="20" xfId="0" applyNumberFormat="1" applyFont="1" applyBorder="1" applyAlignment="1">
      <alignment horizontal="center"/>
    </xf>
    <xf numFmtId="9" fontId="31" fillId="0" borderId="21" xfId="0" applyNumberFormat="1" applyFont="1" applyBorder="1" applyAlignment="1">
      <alignment horizontal="center"/>
    </xf>
    <xf numFmtId="9" fontId="31" fillId="0" borderId="22" xfId="0" applyNumberFormat="1" applyFont="1" applyBorder="1" applyAlignment="1">
      <alignment horizontal="center"/>
    </xf>
    <xf numFmtId="9" fontId="31" fillId="0" borderId="0" xfId="0" applyNumberFormat="1" applyFont="1" applyAlignment="1">
      <alignment/>
    </xf>
    <xf numFmtId="0" fontId="19" fillId="0" borderId="0" xfId="97" applyFont="1" applyBorder="1" applyAlignment="1">
      <alignment horizontal="center" vertical="center" wrapText="1"/>
      <protection/>
    </xf>
    <xf numFmtId="9" fontId="31" fillId="0" borderId="0" xfId="0" applyNumberFormat="1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9" fillId="0" borderId="0" xfId="98" applyFont="1" applyBorder="1">
      <alignment/>
      <protection/>
    </xf>
    <xf numFmtId="0" fontId="33" fillId="0" borderId="23" xfId="98" applyFont="1" applyBorder="1" applyAlignment="1">
      <alignment horizontal="center" vertical="center"/>
      <protection/>
    </xf>
    <xf numFmtId="165" fontId="35" fillId="0" borderId="24" xfId="0" applyNumberFormat="1" applyFont="1" applyFill="1" applyBorder="1" applyAlignment="1">
      <alignment horizontal="center" vertical="center"/>
    </xf>
    <xf numFmtId="165" fontId="35" fillId="0" borderId="25" xfId="0" applyNumberFormat="1" applyFont="1" applyFill="1" applyBorder="1" applyAlignment="1">
      <alignment horizontal="center" vertical="center"/>
    </xf>
    <xf numFmtId="0" fontId="33" fillId="0" borderId="0" xfId="98" applyFont="1" applyBorder="1">
      <alignment/>
      <protection/>
    </xf>
    <xf numFmtId="3" fontId="33" fillId="0" borderId="0" xfId="98" applyNumberFormat="1" applyFont="1" applyBorder="1">
      <alignment/>
      <protection/>
    </xf>
    <xf numFmtId="0" fontId="19" fillId="0" borderId="0" xfId="99">
      <alignment/>
      <protection/>
    </xf>
    <xf numFmtId="0" fontId="37" fillId="0" borderId="0" xfId="99" applyFont="1">
      <alignment/>
      <protection/>
    </xf>
    <xf numFmtId="0" fontId="19" fillId="0" borderId="11" xfId="99" applyBorder="1">
      <alignment/>
      <protection/>
    </xf>
    <xf numFmtId="0" fontId="19" fillId="0" borderId="0" xfId="99" applyBorder="1">
      <alignment/>
      <protection/>
    </xf>
    <xf numFmtId="0" fontId="19" fillId="0" borderId="12" xfId="99" applyBorder="1">
      <alignment/>
      <protection/>
    </xf>
    <xf numFmtId="0" fontId="19" fillId="0" borderId="11" xfId="99" applyBorder="1" applyAlignment="1">
      <alignment horizontal="center"/>
      <protection/>
    </xf>
    <xf numFmtId="0" fontId="19" fillId="0" borderId="0" xfId="99" applyBorder="1" applyAlignment="1">
      <alignment horizontal="center"/>
      <protection/>
    </xf>
    <xf numFmtId="0" fontId="19" fillId="0" borderId="12" xfId="99" applyBorder="1" applyAlignment="1">
      <alignment horizontal="center"/>
      <protection/>
    </xf>
    <xf numFmtId="0" fontId="19" fillId="0" borderId="12" xfId="99" applyFill="1" applyBorder="1" applyAlignment="1">
      <alignment horizontal="center"/>
      <protection/>
    </xf>
    <xf numFmtId="0" fontId="19" fillId="0" borderId="0" xfId="99" applyAlignment="1">
      <alignment horizontal="left"/>
      <protection/>
    </xf>
    <xf numFmtId="165" fontId="19" fillId="0" borderId="11" xfId="99" applyNumberFormat="1" applyBorder="1" applyAlignment="1">
      <alignment horizontal="center"/>
      <protection/>
    </xf>
    <xf numFmtId="165" fontId="19" fillId="0" borderId="0" xfId="99" applyNumberFormat="1" applyBorder="1" applyAlignment="1">
      <alignment horizontal="center"/>
      <protection/>
    </xf>
    <xf numFmtId="165" fontId="19" fillId="0" borderId="12" xfId="99" applyNumberFormat="1" applyBorder="1" applyAlignment="1">
      <alignment horizontal="center"/>
      <protection/>
    </xf>
    <xf numFmtId="0" fontId="19" fillId="0" borderId="0" xfId="99" applyAlignment="1">
      <alignment horizontal="center"/>
      <protection/>
    </xf>
    <xf numFmtId="0" fontId="19" fillId="0" borderId="0" xfId="99" applyFill="1" applyBorder="1" applyAlignment="1">
      <alignment horizontal="center"/>
      <protection/>
    </xf>
    <xf numFmtId="165" fontId="19" fillId="0" borderId="0" xfId="99" applyNumberFormat="1" applyFill="1" applyBorder="1" applyAlignment="1">
      <alignment horizontal="center"/>
      <protection/>
    </xf>
    <xf numFmtId="165" fontId="19" fillId="0" borderId="12" xfId="99" applyNumberFormat="1" applyFill="1" applyBorder="1" applyAlignment="1">
      <alignment horizontal="center"/>
      <protection/>
    </xf>
    <xf numFmtId="0" fontId="19" fillId="0" borderId="0" xfId="99" applyFill="1" applyBorder="1" applyAlignment="1">
      <alignment horizontal="left"/>
      <protection/>
    </xf>
    <xf numFmtId="0" fontId="19" fillId="0" borderId="0" xfId="99" applyFont="1" applyFill="1" applyBorder="1" applyAlignment="1">
      <alignment horizontal="left"/>
      <protection/>
    </xf>
    <xf numFmtId="3" fontId="31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165" fontId="0" fillId="0" borderId="0" xfId="0" applyNumberFormat="1" applyAlignment="1">
      <alignment horizontal="center"/>
    </xf>
    <xf numFmtId="0" fontId="33" fillId="0" borderId="23" xfId="98" applyFont="1" applyBorder="1" applyAlignment="1">
      <alignment horizontal="center" vertical="center" wrapText="1"/>
      <protection/>
    </xf>
    <xf numFmtId="165" fontId="35" fillId="0" borderId="26" xfId="0" applyNumberFormat="1" applyFont="1" applyFill="1" applyBorder="1" applyAlignment="1">
      <alignment horizontal="center" vertical="center"/>
    </xf>
    <xf numFmtId="0" fontId="33" fillId="0" borderId="27" xfId="98" applyFont="1" applyBorder="1" applyAlignment="1">
      <alignment horizontal="center" vertical="center" wrapText="1"/>
      <protection/>
    </xf>
    <xf numFmtId="165" fontId="35" fillId="0" borderId="28" xfId="0" applyNumberFormat="1" applyFont="1" applyFill="1" applyBorder="1" applyAlignment="1">
      <alignment horizontal="center" vertical="center"/>
    </xf>
    <xf numFmtId="0" fontId="19" fillId="0" borderId="0" xfId="99" applyFont="1">
      <alignment/>
      <protection/>
    </xf>
    <xf numFmtId="10" fontId="19" fillId="0" borderId="0" xfId="99" applyNumberFormat="1">
      <alignment/>
      <protection/>
    </xf>
    <xf numFmtId="0" fontId="0" fillId="0" borderId="0" xfId="0" applyAlignment="1">
      <alignment wrapText="1"/>
    </xf>
    <xf numFmtId="168" fontId="0" fillId="0" borderId="0" xfId="0" applyNumberFormat="1" applyAlignment="1">
      <alignment/>
    </xf>
    <xf numFmtId="9" fontId="31" fillId="0" borderId="0" xfId="0" applyNumberFormat="1" applyFont="1" applyAlignment="1">
      <alignment horizontal="center" vertical="center"/>
    </xf>
    <xf numFmtId="0" fontId="26" fillId="0" borderId="29" xfId="98" applyFont="1" applyBorder="1">
      <alignment/>
      <protection/>
    </xf>
    <xf numFmtId="0" fontId="26" fillId="0" borderId="30" xfId="98" applyFont="1" applyBorder="1" applyAlignment="1">
      <alignment horizontal="center"/>
      <protection/>
    </xf>
    <xf numFmtId="0" fontId="32" fillId="0" borderId="0" xfId="0" applyFont="1" applyAlignment="1">
      <alignment horizontal="center" vertical="center" wrapText="1"/>
    </xf>
    <xf numFmtId="9" fontId="31" fillId="0" borderId="31" xfId="0" applyNumberFormat="1" applyFont="1" applyBorder="1" applyAlignment="1">
      <alignment horizontal="center"/>
    </xf>
    <xf numFmtId="9" fontId="31" fillId="0" borderId="32" xfId="0" applyNumberFormat="1" applyFont="1" applyBorder="1" applyAlignment="1">
      <alignment horizontal="center"/>
    </xf>
    <xf numFmtId="9" fontId="31" fillId="0" borderId="33" xfId="0" applyNumberFormat="1" applyFont="1" applyBorder="1" applyAlignment="1">
      <alignment horizontal="center"/>
    </xf>
    <xf numFmtId="0" fontId="31" fillId="0" borderId="34" xfId="0" applyFont="1" applyBorder="1" applyAlignment="1">
      <alignment horizontal="center" vertical="center" wrapText="1"/>
    </xf>
    <xf numFmtId="0" fontId="29" fillId="0" borderId="13" xfId="97" applyFont="1" applyBorder="1" applyAlignment="1">
      <alignment horizontal="center" vertical="center" wrapText="1"/>
      <protection/>
    </xf>
    <xf numFmtId="0" fontId="29" fillId="0" borderId="14" xfId="97" applyFont="1" applyBorder="1" applyAlignment="1">
      <alignment horizontal="center" vertical="center" wrapText="1"/>
      <protection/>
    </xf>
    <xf numFmtId="0" fontId="29" fillId="0" borderId="31" xfId="97" applyFont="1" applyBorder="1" applyAlignment="1">
      <alignment horizontal="center"/>
      <protection/>
    </xf>
    <xf numFmtId="0" fontId="29" fillId="0" borderId="32" xfId="97" applyFont="1" applyBorder="1" applyAlignment="1">
      <alignment horizontal="center"/>
      <protection/>
    </xf>
    <xf numFmtId="0" fontId="29" fillId="0" borderId="32" xfId="97" applyFont="1" applyBorder="1" applyAlignment="1">
      <alignment horizontal="center" vertical="justify"/>
      <protection/>
    </xf>
    <xf numFmtId="0" fontId="29" fillId="0" borderId="33" xfId="97" applyFont="1" applyBorder="1" applyAlignment="1">
      <alignment horizontal="center" vertical="justify"/>
      <protection/>
    </xf>
    <xf numFmtId="0" fontId="29" fillId="0" borderId="16" xfId="97" applyFont="1" applyBorder="1" applyAlignment="1">
      <alignment horizontal="center" vertical="center" wrapText="1"/>
      <protection/>
    </xf>
    <xf numFmtId="0" fontId="29" fillId="0" borderId="35" xfId="97" applyFont="1" applyBorder="1" applyAlignment="1">
      <alignment horizontal="center" vertical="center" wrapText="1"/>
      <protection/>
    </xf>
    <xf numFmtId="9" fontId="31" fillId="0" borderId="34" xfId="0" applyNumberFormat="1" applyFont="1" applyBorder="1" applyAlignment="1">
      <alignment horizontal="center"/>
    </xf>
    <xf numFmtId="9" fontId="31" fillId="0" borderId="36" xfId="0" applyNumberFormat="1" applyFont="1" applyBorder="1" applyAlignment="1">
      <alignment horizontal="center"/>
    </xf>
    <xf numFmtId="9" fontId="31" fillId="0" borderId="37" xfId="0" applyNumberFormat="1" applyFont="1" applyBorder="1" applyAlignment="1">
      <alignment horizontal="center"/>
    </xf>
    <xf numFmtId="0" fontId="29" fillId="0" borderId="31" xfId="97" applyFont="1" applyBorder="1" applyAlignment="1">
      <alignment horizontal="center" vertical="center" wrapText="1"/>
      <protection/>
    </xf>
    <xf numFmtId="0" fontId="31" fillId="0" borderId="32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31" xfId="0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center"/>
    </xf>
    <xf numFmtId="0" fontId="42" fillId="0" borderId="34" xfId="0" applyFont="1" applyBorder="1" applyAlignment="1">
      <alignment horizontal="center" vertical="center" wrapText="1"/>
    </xf>
    <xf numFmtId="9" fontId="31" fillId="0" borderId="36" xfId="0" applyNumberFormat="1" applyFont="1" applyBorder="1" applyAlignment="1">
      <alignment horizontal="center" vertical="center"/>
    </xf>
    <xf numFmtId="9" fontId="31" fillId="0" borderId="37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31" fillId="0" borderId="38" xfId="0" applyFont="1" applyBorder="1" applyAlignment="1">
      <alignment horizontal="center" vertical="center" wrapText="1"/>
    </xf>
    <xf numFmtId="0" fontId="29" fillId="0" borderId="39" xfId="97" applyFont="1" applyBorder="1" applyAlignment="1">
      <alignment horizontal="center" vertical="center" wrapText="1"/>
      <protection/>
    </xf>
    <xf numFmtId="0" fontId="29" fillId="0" borderId="40" xfId="97" applyFont="1" applyBorder="1" applyAlignment="1">
      <alignment horizontal="center" vertical="center" wrapText="1"/>
      <protection/>
    </xf>
    <xf numFmtId="0" fontId="29" fillId="0" borderId="41" xfId="97" applyFont="1" applyBorder="1" applyAlignment="1">
      <alignment horizontal="center" vertical="center" wrapText="1"/>
      <protection/>
    </xf>
    <xf numFmtId="3" fontId="31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7" fontId="31" fillId="0" borderId="12" xfId="0" applyNumberFormat="1" applyFont="1" applyBorder="1" applyAlignment="1">
      <alignment horizontal="center"/>
    </xf>
    <xf numFmtId="165" fontId="31" fillId="0" borderId="12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65" fontId="31" fillId="0" borderId="22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/>
    </xf>
    <xf numFmtId="3" fontId="31" fillId="0" borderId="37" xfId="0" applyNumberFormat="1" applyFont="1" applyBorder="1" applyAlignment="1">
      <alignment horizontal="center"/>
    </xf>
    <xf numFmtId="3" fontId="31" fillId="0" borderId="31" xfId="0" applyNumberFormat="1" applyFont="1" applyBorder="1" applyAlignment="1">
      <alignment horizontal="center"/>
    </xf>
    <xf numFmtId="1" fontId="31" fillId="0" borderId="31" xfId="0" applyNumberFormat="1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167" fontId="31" fillId="0" borderId="31" xfId="0" applyNumberFormat="1" applyFont="1" applyBorder="1" applyAlignment="1">
      <alignment horizontal="center"/>
    </xf>
    <xf numFmtId="9" fontId="31" fillId="0" borderId="31" xfId="96" applyNumberFormat="1" applyFont="1" applyBorder="1" applyAlignment="1">
      <alignment horizontal="center"/>
      <protection/>
    </xf>
    <xf numFmtId="166" fontId="31" fillId="0" borderId="31" xfId="0" applyNumberFormat="1" applyFont="1" applyBorder="1" applyAlignment="1">
      <alignment horizontal="center"/>
    </xf>
    <xf numFmtId="165" fontId="31" fillId="0" borderId="31" xfId="0" applyNumberFormat="1" applyFont="1" applyBorder="1" applyAlignment="1">
      <alignment horizontal="center"/>
    </xf>
    <xf numFmtId="9" fontId="0" fillId="0" borderId="31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3" fontId="31" fillId="0" borderId="32" xfId="0" applyNumberFormat="1" applyFont="1" applyBorder="1" applyAlignment="1">
      <alignment horizontal="center"/>
    </xf>
    <xf numFmtId="1" fontId="31" fillId="0" borderId="32" xfId="0" applyNumberFormat="1" applyFont="1" applyBorder="1" applyAlignment="1">
      <alignment horizontal="center"/>
    </xf>
    <xf numFmtId="167" fontId="31" fillId="0" borderId="32" xfId="0" applyNumberFormat="1" applyFont="1" applyBorder="1" applyAlignment="1">
      <alignment horizontal="center"/>
    </xf>
    <xf numFmtId="9" fontId="31" fillId="0" borderId="32" xfId="96" applyNumberFormat="1" applyFont="1" applyBorder="1" applyAlignment="1">
      <alignment horizontal="center"/>
      <protection/>
    </xf>
    <xf numFmtId="166" fontId="31" fillId="0" borderId="32" xfId="0" applyNumberFormat="1" applyFont="1" applyBorder="1" applyAlignment="1">
      <alignment horizontal="center"/>
    </xf>
    <xf numFmtId="165" fontId="31" fillId="0" borderId="32" xfId="0" applyNumberFormat="1" applyFont="1" applyBorder="1" applyAlignment="1">
      <alignment horizontal="center"/>
    </xf>
    <xf numFmtId="9" fontId="0" fillId="0" borderId="32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3" fontId="29" fillId="0" borderId="32" xfId="97" applyNumberFormat="1" applyFont="1" applyBorder="1" applyAlignment="1">
      <alignment horizontal="center"/>
      <protection/>
    </xf>
    <xf numFmtId="0" fontId="0" fillId="0" borderId="33" xfId="0" applyFont="1" applyBorder="1" applyAlignment="1">
      <alignment horizontal="center"/>
    </xf>
    <xf numFmtId="165" fontId="31" fillId="0" borderId="33" xfId="0" applyNumberFormat="1" applyFont="1" applyBorder="1" applyAlignment="1">
      <alignment horizontal="center"/>
    </xf>
    <xf numFmtId="0" fontId="31" fillId="0" borderId="3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3" fontId="31" fillId="0" borderId="33" xfId="0" applyNumberFormat="1" applyFont="1" applyBorder="1" applyAlignment="1">
      <alignment horizontal="center"/>
    </xf>
    <xf numFmtId="166" fontId="31" fillId="0" borderId="33" xfId="0" applyNumberFormat="1" applyFont="1" applyBorder="1" applyAlignment="1">
      <alignment horizontal="center"/>
    </xf>
    <xf numFmtId="0" fontId="29" fillId="0" borderId="34" xfId="98" applyFont="1" applyBorder="1" applyAlignment="1">
      <alignment horizontal="justify" vertical="top" wrapText="1"/>
      <protection/>
    </xf>
    <xf numFmtId="0" fontId="33" fillId="0" borderId="37" xfId="98" applyFont="1" applyBorder="1" applyAlignment="1">
      <alignment horizontal="justify" vertical="top" wrapText="1"/>
      <protection/>
    </xf>
    <xf numFmtId="0" fontId="33" fillId="0" borderId="11" xfId="98" applyFont="1" applyBorder="1" applyAlignment="1">
      <alignment horizontal="justify" vertical="top" wrapText="1"/>
      <protection/>
    </xf>
    <xf numFmtId="0" fontId="33" fillId="0" borderId="12" xfId="98" applyFont="1" applyBorder="1" applyAlignment="1">
      <alignment horizontal="justify" vertical="top" wrapText="1"/>
      <protection/>
    </xf>
    <xf numFmtId="0" fontId="33" fillId="0" borderId="20" xfId="98" applyFont="1" applyBorder="1" applyAlignment="1">
      <alignment horizontal="justify" vertical="top" wrapText="1"/>
      <protection/>
    </xf>
    <xf numFmtId="0" fontId="33" fillId="0" borderId="22" xfId="98" applyFont="1" applyBorder="1" applyAlignment="1">
      <alignment horizontal="justify" vertical="top" wrapText="1"/>
      <protection/>
    </xf>
    <xf numFmtId="0" fontId="34" fillId="0" borderId="34" xfId="98" applyFont="1" applyBorder="1" applyAlignment="1">
      <alignment horizontal="center" vertical="center" wrapText="1"/>
      <protection/>
    </xf>
    <xf numFmtId="0" fontId="34" fillId="0" borderId="37" xfId="98" applyFont="1" applyBorder="1" applyAlignment="1">
      <alignment horizontal="center" vertical="center" wrapText="1"/>
      <protection/>
    </xf>
    <xf numFmtId="0" fontId="27" fillId="0" borderId="43" xfId="98" applyFont="1" applyBorder="1" applyAlignment="1">
      <alignment horizontal="center" vertical="center" wrapText="1"/>
      <protection/>
    </xf>
    <xf numFmtId="0" fontId="0" fillId="0" borderId="44" xfId="0" applyBorder="1" applyAlignment="1">
      <alignment/>
    </xf>
    <xf numFmtId="0" fontId="33" fillId="0" borderId="24" xfId="98" applyFont="1" applyBorder="1" applyAlignment="1">
      <alignment horizontal="center" vertical="center" wrapText="1"/>
      <protection/>
    </xf>
    <xf numFmtId="0" fontId="33" fillId="0" borderId="45" xfId="98" applyFont="1" applyBorder="1" applyAlignment="1">
      <alignment horizontal="center" vertical="center" wrapText="1"/>
      <protection/>
    </xf>
    <xf numFmtId="0" fontId="27" fillId="0" borderId="44" xfId="98" applyFont="1" applyBorder="1" applyAlignment="1">
      <alignment horizontal="center" vertical="center" wrapText="1"/>
      <protection/>
    </xf>
    <xf numFmtId="0" fontId="33" fillId="0" borderId="36" xfId="98" applyFont="1" applyBorder="1" applyAlignment="1">
      <alignment horizontal="justify" vertical="top" wrapText="1"/>
      <protection/>
    </xf>
    <xf numFmtId="0" fontId="33" fillId="0" borderId="0" xfId="98" applyFont="1" applyBorder="1" applyAlignment="1">
      <alignment horizontal="justify" vertical="top" wrapText="1"/>
      <protection/>
    </xf>
    <xf numFmtId="0" fontId="33" fillId="0" borderId="21" xfId="98" applyFont="1" applyBorder="1" applyAlignment="1">
      <alignment horizontal="justify" vertical="top" wrapText="1"/>
      <protection/>
    </xf>
    <xf numFmtId="0" fontId="34" fillId="0" borderId="36" xfId="98" applyFont="1" applyBorder="1" applyAlignment="1">
      <alignment horizontal="center" vertical="center" wrapText="1"/>
      <protection/>
    </xf>
    <xf numFmtId="0" fontId="33" fillId="0" borderId="46" xfId="98" applyFont="1" applyBorder="1" applyAlignment="1">
      <alignment horizontal="center" vertical="center" wrapText="1"/>
      <protection/>
    </xf>
    <xf numFmtId="0" fontId="33" fillId="0" borderId="47" xfId="98" applyFont="1" applyBorder="1" applyAlignment="1">
      <alignment horizontal="center" vertical="center" wrapText="1"/>
      <protection/>
    </xf>
    <xf numFmtId="0" fontId="32" fillId="0" borderId="34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9" fontId="3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7" fillId="0" borderId="11" xfId="99" applyFont="1" applyBorder="1" applyAlignment="1">
      <alignment horizontal="center" wrapText="1"/>
      <protection/>
    </xf>
    <xf numFmtId="0" fontId="37" fillId="0" borderId="0" xfId="99" applyFont="1" applyBorder="1" applyAlignment="1">
      <alignment horizontal="center" wrapText="1"/>
      <protection/>
    </xf>
    <xf numFmtId="0" fontId="37" fillId="0" borderId="12" xfId="99" applyFont="1" applyBorder="1" applyAlignment="1">
      <alignment horizontal="center" wrapText="1"/>
      <protection/>
    </xf>
    <xf numFmtId="0" fontId="37" fillId="0" borderId="11" xfId="99" applyFont="1" applyBorder="1" applyAlignment="1">
      <alignment horizontal="center"/>
      <protection/>
    </xf>
    <xf numFmtId="0" fontId="37" fillId="0" borderId="0" xfId="99" applyFont="1" applyBorder="1" applyAlignment="1">
      <alignment horizontal="center"/>
      <protection/>
    </xf>
    <xf numFmtId="0" fontId="37" fillId="0" borderId="12" xfId="99" applyFont="1" applyBorder="1" applyAlignment="1">
      <alignment horizontal="center"/>
      <protection/>
    </xf>
  </cellXfs>
  <cellStyles count="11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on" xfId="59"/>
    <cellStyle name="Calcul" xfId="60"/>
    <cellStyle name="Calculation" xfId="61"/>
    <cellStyle name="Cellule liée" xfId="62"/>
    <cellStyle name="Check Cell" xfId="63"/>
    <cellStyle name="Commentaire" xfId="64"/>
    <cellStyle name="Date" xfId="65"/>
    <cellStyle name="En-tête 1" xfId="66"/>
    <cellStyle name="En-tête 2" xfId="67"/>
    <cellStyle name="Entrée" xfId="68"/>
    <cellStyle name="Explanatory Text" xfId="69"/>
    <cellStyle name="Financier0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satisfaisant" xfId="77"/>
    <cellStyle name="Hyperlink" xfId="78"/>
    <cellStyle name="Followed Hyperlink" xfId="79"/>
    <cellStyle name="Linked Cell" xfId="80"/>
    <cellStyle name="Comma" xfId="81"/>
    <cellStyle name="Comma [0]" xfId="82"/>
    <cellStyle name="Currency" xfId="83"/>
    <cellStyle name="Currency [0]" xfId="84"/>
    <cellStyle name="Monétaire0" xfId="85"/>
    <cellStyle name="Motif" xfId="86"/>
    <cellStyle name="Neutral" xfId="87"/>
    <cellStyle name="Neutre" xfId="88"/>
    <cellStyle name="Normal 2" xfId="89"/>
    <cellStyle name="Normal 2 2" xfId="90"/>
    <cellStyle name="Normal 2 3" xfId="91"/>
    <cellStyle name="Normal 2_AccumulationEquation" xfId="92"/>
    <cellStyle name="Normal 3" xfId="93"/>
    <cellStyle name="Normal 4" xfId="94"/>
    <cellStyle name="Normal 6" xfId="95"/>
    <cellStyle name="Normal_DetailsForbes" xfId="96"/>
    <cellStyle name="Normal_France" xfId="97"/>
    <cellStyle name="Normal_MainTablesFigures" xfId="98"/>
    <cellStyle name="Normal_RatesofReturnsSovereignFunds&amp;USUniversities" xfId="99"/>
    <cellStyle name="Note" xfId="100"/>
    <cellStyle name="Output" xfId="101"/>
    <cellStyle name="Percent" xfId="102"/>
    <cellStyle name="Pourcentage 2" xfId="103"/>
    <cellStyle name="Pourcentage 3" xfId="104"/>
    <cellStyle name="Pourcentage 3 2" xfId="105"/>
    <cellStyle name="Pourcentage 4" xfId="106"/>
    <cellStyle name="Remarque" xfId="107"/>
    <cellStyle name="Satisfaisant" xfId="108"/>
    <cellStyle name="Sortie" xfId="109"/>
    <cellStyle name="Standard 11" xfId="110"/>
    <cellStyle name="Standard_2 + 3" xfId="111"/>
    <cellStyle name="style_col_headings" xfId="112"/>
    <cellStyle name="Texte explicatif" xfId="113"/>
    <cellStyle name="Title" xfId="114"/>
    <cellStyle name="Titre" xfId="115"/>
    <cellStyle name="Titre 1" xfId="116"/>
    <cellStyle name="Titre 2" xfId="117"/>
    <cellStyle name="Titre 3" xfId="118"/>
    <cellStyle name="Titre 4" xfId="119"/>
    <cellStyle name="Titre " xfId="120"/>
    <cellStyle name="Titre 1" xfId="121"/>
    <cellStyle name="Titre 2" xfId="122"/>
    <cellStyle name="Titre 3" xfId="123"/>
    <cellStyle name="Titre 4" xfId="124"/>
    <cellStyle name="Total" xfId="125"/>
    <cellStyle name="Vérification" xfId="126"/>
    <cellStyle name="Vérification de cellule" xfId="127"/>
    <cellStyle name="Virgule fixe" xfId="128"/>
    <cellStyle name="Warning Text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worksheet" Target="worksheets/sheet8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Graphique 12.1. Les milliardaires d'après le classement Forbes, 1987-2013</a:t>
            </a:r>
          </a:p>
        </c:rich>
      </c:tx>
      <c:layout>
        <c:manualLayout>
          <c:xMode val="factor"/>
          <c:yMode val="factor"/>
          <c:x val="0.00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435"/>
          <c:w val="0.98675"/>
          <c:h val="0.89"/>
        </c:manualLayout>
      </c:layout>
      <c:lineChart>
        <c:grouping val="standard"/>
        <c:varyColors val="0"/>
        <c:ser>
          <c:idx val="1"/>
          <c:order val="0"/>
          <c:tx>
            <c:v>Patrimoine total des milliardaires (en milliards de $) (échelle de gauche)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'TS12.3'!$A$7:$A$33</c:f>
              <c:numCache>
                <c:ptCount val="27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</c:numCache>
            </c:numRef>
          </c:cat>
          <c:val>
            <c:numRef>
              <c:f>'TS12.3'!$C$7:$C$33</c:f>
              <c:numCache>
                <c:ptCount val="27"/>
                <c:pt idx="0">
                  <c:v>295</c:v>
                </c:pt>
                <c:pt idx="1">
                  <c:v>338</c:v>
                </c:pt>
                <c:pt idx="2">
                  <c:v>459.9</c:v>
                </c:pt>
                <c:pt idx="3">
                  <c:v>570.2</c:v>
                </c:pt>
                <c:pt idx="4">
                  <c:v>592.4</c:v>
                </c:pt>
                <c:pt idx="5">
                  <c:v>600.5</c:v>
                </c:pt>
                <c:pt idx="6">
                  <c:v>398.6</c:v>
                </c:pt>
                <c:pt idx="7">
                  <c:v>765.4</c:v>
                </c:pt>
                <c:pt idx="8">
                  <c:v>885.1</c:v>
                </c:pt>
                <c:pt idx="9">
                  <c:v>1048.5</c:v>
                </c:pt>
                <c:pt idx="10">
                  <c:v>1205.287</c:v>
                </c:pt>
                <c:pt idx="11">
                  <c:v>1289.373</c:v>
                </c:pt>
                <c:pt idx="12">
                  <c:v>1351.46</c:v>
                </c:pt>
                <c:pt idx="13">
                  <c:v>1473.28</c:v>
                </c:pt>
                <c:pt idx="14">
                  <c:v>1728.6</c:v>
                </c:pt>
                <c:pt idx="15">
                  <c:v>1544.2</c:v>
                </c:pt>
                <c:pt idx="16">
                  <c:v>1403.3</c:v>
                </c:pt>
                <c:pt idx="17">
                  <c:v>1917.2</c:v>
                </c:pt>
                <c:pt idx="18">
                  <c:v>2236.2</c:v>
                </c:pt>
                <c:pt idx="19">
                  <c:v>2645.5</c:v>
                </c:pt>
                <c:pt idx="20">
                  <c:v>3452</c:v>
                </c:pt>
                <c:pt idx="21">
                  <c:v>4381</c:v>
                </c:pt>
                <c:pt idx="22">
                  <c:v>2414.7</c:v>
                </c:pt>
                <c:pt idx="23">
                  <c:v>3567.8</c:v>
                </c:pt>
                <c:pt idx="24">
                  <c:v>4500</c:v>
                </c:pt>
                <c:pt idx="25">
                  <c:v>4600</c:v>
                </c:pt>
                <c:pt idx="26">
                  <c:v>5400</c:v>
                </c:pt>
              </c:numCache>
            </c:numRef>
          </c:val>
          <c:smooth val="0"/>
        </c:ser>
        <c:marker val="1"/>
        <c:axId val="7702957"/>
        <c:axId val="2217750"/>
      </c:lineChart>
      <c:lineChart>
        <c:grouping val="standard"/>
        <c:varyColors val="0"/>
        <c:ser>
          <c:idx val="0"/>
          <c:order val="1"/>
          <c:tx>
            <c:v>Nombre de milliardaires en $ dans le monde (échelle de droite) 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'TS12.3'!$B$7:$B$33</c:f>
              <c:numCache>
                <c:ptCount val="27"/>
                <c:pt idx="0">
                  <c:v>140</c:v>
                </c:pt>
                <c:pt idx="1">
                  <c:v>191</c:v>
                </c:pt>
                <c:pt idx="2">
                  <c:v>220</c:v>
                </c:pt>
                <c:pt idx="3">
                  <c:v>265</c:v>
                </c:pt>
                <c:pt idx="4">
                  <c:v>260</c:v>
                </c:pt>
                <c:pt idx="5">
                  <c:v>275</c:v>
                </c:pt>
                <c:pt idx="6">
                  <c:v>192</c:v>
                </c:pt>
                <c:pt idx="7">
                  <c:v>342</c:v>
                </c:pt>
                <c:pt idx="8">
                  <c:v>366</c:v>
                </c:pt>
                <c:pt idx="9">
                  <c:v>422</c:v>
                </c:pt>
                <c:pt idx="10">
                  <c:v>323</c:v>
                </c:pt>
                <c:pt idx="11">
                  <c:v>308</c:v>
                </c:pt>
                <c:pt idx="12">
                  <c:v>336</c:v>
                </c:pt>
                <c:pt idx="13">
                  <c:v>360</c:v>
                </c:pt>
                <c:pt idx="14">
                  <c:v>538</c:v>
                </c:pt>
                <c:pt idx="15">
                  <c:v>497</c:v>
                </c:pt>
                <c:pt idx="16">
                  <c:v>476</c:v>
                </c:pt>
                <c:pt idx="17">
                  <c:v>587</c:v>
                </c:pt>
                <c:pt idx="18">
                  <c:v>691</c:v>
                </c:pt>
                <c:pt idx="19">
                  <c:v>793</c:v>
                </c:pt>
                <c:pt idx="20">
                  <c:v>946</c:v>
                </c:pt>
                <c:pt idx="21">
                  <c:v>1125</c:v>
                </c:pt>
                <c:pt idx="22">
                  <c:v>793</c:v>
                </c:pt>
                <c:pt idx="23">
                  <c:v>1011</c:v>
                </c:pt>
                <c:pt idx="24">
                  <c:v>1206</c:v>
                </c:pt>
                <c:pt idx="25">
                  <c:v>1226</c:v>
                </c:pt>
                <c:pt idx="26">
                  <c:v>1426</c:v>
                </c:pt>
              </c:numCache>
            </c:numRef>
          </c:val>
          <c:smooth val="0"/>
        </c:ser>
        <c:marker val="1"/>
        <c:axId val="19959751"/>
        <c:axId val="45420032"/>
      </c:lineChart>
      <c:catAx>
        <c:axId val="7702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Lecture. Entre 1987 et 2013, le nombre de milliardaires en $ dans le monde est passé d'après Forbes de 140 à 1400, et leur patrimoine total de 300 milliards de dollars à 5 400 milliards.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 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3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217750"/>
        <c:crosses val="autoZero"/>
        <c:auto val="0"/>
        <c:lblOffset val="100"/>
        <c:tickLblSkip val="3"/>
        <c:tickMarkSkip val="3"/>
        <c:noMultiLvlLbl val="0"/>
      </c:catAx>
      <c:valAx>
        <c:axId val="221775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702957"/>
        <c:crossesAt val="1"/>
        <c:crossBetween val="midCat"/>
        <c:dispUnits/>
      </c:valAx>
      <c:catAx>
        <c:axId val="19959751"/>
        <c:scaling>
          <c:orientation val="minMax"/>
        </c:scaling>
        <c:axPos val="b"/>
        <c:delete val="1"/>
        <c:majorTickMark val="out"/>
        <c:minorTickMark val="none"/>
        <c:tickLblPos val="none"/>
        <c:crossAx val="45420032"/>
        <c:crosses val="autoZero"/>
        <c:auto val="0"/>
        <c:lblOffset val="100"/>
        <c:tickLblSkip val="1"/>
        <c:noMultiLvlLbl val="0"/>
      </c:catAx>
      <c:valAx>
        <c:axId val="45420032"/>
        <c:scaling>
          <c:orientation val="minMax"/>
          <c:max val="2400"/>
          <c:min val="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959751"/>
        <c:crosses val="max"/>
        <c:crossBetween val="midCat"/>
        <c:dispUnits/>
        <c:majorUnit val="400"/>
        <c:min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6"/>
          <c:y val="0.232"/>
          <c:w val="0.49375"/>
          <c:h val="0.24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Graphique 12.2. Les milliardaires en proportion de la population et du patrimoine de la planète, 1987-2013</a:t>
            </a:r>
          </a:p>
        </c:rich>
      </c:tx>
      <c:layout>
        <c:manualLayout>
          <c:xMode val="factor"/>
          <c:yMode val="factor"/>
          <c:x val="0.0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7325"/>
          <c:w val="0.98675"/>
          <c:h val="0.86025"/>
        </c:manualLayout>
      </c:layout>
      <c:lineChart>
        <c:grouping val="standard"/>
        <c:varyColors val="0"/>
        <c:ser>
          <c:idx val="1"/>
          <c:order val="0"/>
          <c:tx>
            <c:v>Patrimoine total des milliardaires (en % du patrimoine privé mondial) (échelle de gauche)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'TS12.3'!$A$7:$A$33</c:f>
              <c:numCache>
                <c:ptCount val="27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</c:numCache>
            </c:numRef>
          </c:cat>
          <c:val>
            <c:numRef>
              <c:f>'TS12.3'!$D$7:$D$33</c:f>
              <c:numCache>
                <c:ptCount val="27"/>
                <c:pt idx="0">
                  <c:v>0.003970037426528659</c:v>
                </c:pt>
                <c:pt idx="1">
                  <c:v>0.004262755432276543</c:v>
                </c:pt>
                <c:pt idx="2">
                  <c:v>0.005437181933139918</c:v>
                </c:pt>
                <c:pt idx="3">
                  <c:v>0.006321284649152459</c:v>
                </c:pt>
                <c:pt idx="4">
                  <c:v>0.00620356926389475</c:v>
                </c:pt>
                <c:pt idx="5">
                  <c:v>0.0059876947455927195</c:v>
                </c:pt>
                <c:pt idx="6">
                  <c:v>0.0037862858171352634</c:v>
                </c:pt>
                <c:pt idx="7">
                  <c:v>0.006844675085446252</c:v>
                </c:pt>
                <c:pt idx="8">
                  <c:v>0.007436051816452736</c:v>
                </c:pt>
                <c:pt idx="9">
                  <c:v>0.00826963976616132</c:v>
                </c:pt>
                <c:pt idx="10">
                  <c:v>0.008888874715555694</c:v>
                </c:pt>
                <c:pt idx="11">
                  <c:v>0.009045700126396593</c:v>
                </c:pt>
                <c:pt idx="12">
                  <c:v>0.008958860930931359</c:v>
                </c:pt>
                <c:pt idx="13">
                  <c:v>0.009024964508230418</c:v>
                </c:pt>
                <c:pt idx="14">
                  <c:v>0.009951348219550788</c:v>
                </c:pt>
                <c:pt idx="15">
                  <c:v>0.008362810845218897</c:v>
                </c:pt>
                <c:pt idx="16">
                  <c:v>0.007085878928087626</c:v>
                </c:pt>
                <c:pt idx="17">
                  <c:v>0.008850662737011183</c:v>
                </c:pt>
                <c:pt idx="18">
                  <c:v>0.009431162531847517</c:v>
                </c:pt>
                <c:pt idx="19">
                  <c:v>0.010047595071696105</c:v>
                </c:pt>
                <c:pt idx="20">
                  <c:v>0.011936232059383448</c:v>
                </c:pt>
                <c:pt idx="21">
                  <c:v>0.014121075657490762</c:v>
                </c:pt>
                <c:pt idx="22">
                  <c:v>0.008655969991704428</c:v>
                </c:pt>
                <c:pt idx="23">
                  <c:v>0.011791126958968902</c:v>
                </c:pt>
                <c:pt idx="24">
                  <c:v>0.01394091455504011</c:v>
                </c:pt>
                <c:pt idx="25">
                  <c:v>0.0135258315925235</c:v>
                </c:pt>
                <c:pt idx="26">
                  <c:v>0.015070615279271083</c:v>
                </c:pt>
              </c:numCache>
            </c:numRef>
          </c:val>
          <c:smooth val="0"/>
        </c:ser>
        <c:marker val="1"/>
        <c:axId val="6127105"/>
        <c:axId val="55143946"/>
      </c:lineChart>
      <c:lineChart>
        <c:grouping val="standard"/>
        <c:varyColors val="0"/>
        <c:ser>
          <c:idx val="0"/>
          <c:order val="1"/>
          <c:tx>
            <c:v>Nombre de milliardaires en $ dans le monde (pour 100 millions d'habitants adultes) (échelle de droite) 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'TS12.3'!$E$7:$E$33</c:f>
              <c:numCache>
                <c:ptCount val="27"/>
                <c:pt idx="0">
                  <c:v>4.910882755677113</c:v>
                </c:pt>
                <c:pt idx="1">
                  <c:v>6.5488315846152965</c:v>
                </c:pt>
                <c:pt idx="2">
                  <c:v>7.374973326161381</c:v>
                </c:pt>
                <c:pt idx="3">
                  <c:v>8.688854025927725</c:v>
                </c:pt>
                <c:pt idx="4">
                  <c:v>8.341405242140798</c:v>
                </c:pt>
                <c:pt idx="5">
                  <c:v>8.636043467263107</c:v>
                </c:pt>
                <c:pt idx="6">
                  <c:v>5.904935800055194</c:v>
                </c:pt>
                <c:pt idx="7">
                  <c:v>10.307220057861448</c:v>
                </c:pt>
                <c:pt idx="8">
                  <c:v>10.816638833706353</c:v>
                </c:pt>
                <c:pt idx="9">
                  <c:v>12.238496215501863</c:v>
                </c:pt>
                <c:pt idx="10">
                  <c:v>9.197897641151645</c:v>
                </c:pt>
                <c:pt idx="11">
                  <c:v>8.615344795900752</c:v>
                </c:pt>
                <c:pt idx="12">
                  <c:v>9.232810526387384</c:v>
                </c:pt>
                <c:pt idx="13">
                  <c:v>9.716675832694882</c:v>
                </c:pt>
                <c:pt idx="14">
                  <c:v>14.261182722374208</c:v>
                </c:pt>
                <c:pt idx="15">
                  <c:v>12.937480682023406</c:v>
                </c:pt>
                <c:pt idx="16">
                  <c:v>12.166855696778153</c:v>
                </c:pt>
                <c:pt idx="17">
                  <c:v>14.731586114410105</c:v>
                </c:pt>
                <c:pt idx="18">
                  <c:v>17.02566948583328</c:v>
                </c:pt>
                <c:pt idx="19">
                  <c:v>19.18155155098426</c:v>
                </c:pt>
                <c:pt idx="20">
                  <c:v>22.4636702522956</c:v>
                </c:pt>
                <c:pt idx="21">
                  <c:v>26.22971643025322</c:v>
                </c:pt>
                <c:pt idx="22">
                  <c:v>18.16078157581421</c:v>
                </c:pt>
                <c:pt idx="23">
                  <c:v>22.754535585786137</c:v>
                </c:pt>
                <c:pt idx="24">
                  <c:v>26.68032254982975</c:v>
                </c:pt>
                <c:pt idx="25">
                  <c:v>26.66452970083612</c:v>
                </c:pt>
                <c:pt idx="26">
                  <c:v>30.496108088127734</c:v>
                </c:pt>
              </c:numCache>
            </c:numRef>
          </c:val>
          <c:smooth val="0"/>
        </c:ser>
        <c:marker val="1"/>
        <c:axId val="26533467"/>
        <c:axId val="37474612"/>
      </c:lineChart>
      <c:catAx>
        <c:axId val="6127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Lecture. Entre 1987 et 2013, le nombre de milliardaires pour 100 millions d'adultes est passé de 5 à 30, et leur part dans le patrimoine privé mondial de 0,4% à 1,5%.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 </a:t>
                </a:r>
              </a:p>
            </c:rich>
          </c:tx>
          <c:layout>
            <c:manualLayout>
              <c:xMode val="factor"/>
              <c:yMode val="factor"/>
              <c:x val="0.002"/>
              <c:y val="-0.0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5143946"/>
        <c:crosses val="autoZero"/>
        <c:auto val="0"/>
        <c:lblOffset val="100"/>
        <c:tickLblSkip val="3"/>
        <c:tickMarkSkip val="3"/>
        <c:noMultiLvlLbl val="0"/>
      </c:catAx>
      <c:valAx>
        <c:axId val="5514394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27105"/>
        <c:crossesAt val="1"/>
        <c:crossBetween val="midCat"/>
        <c:dispUnits/>
      </c:valAx>
      <c:catAx>
        <c:axId val="26533467"/>
        <c:scaling>
          <c:orientation val="minMax"/>
        </c:scaling>
        <c:axPos val="b"/>
        <c:delete val="1"/>
        <c:majorTickMark val="out"/>
        <c:minorTickMark val="none"/>
        <c:tickLblPos val="none"/>
        <c:crossAx val="37474612"/>
        <c:crosses val="autoZero"/>
        <c:auto val="0"/>
        <c:lblOffset val="100"/>
        <c:tickLblSkip val="1"/>
        <c:noMultiLvlLbl val="0"/>
      </c:catAx>
      <c:valAx>
        <c:axId val="37474612"/>
        <c:scaling>
          <c:orientation val="minMax"/>
          <c:max val="40"/>
          <c:min val="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533467"/>
        <c:crosses val="max"/>
        <c:crossBetween val="midCat"/>
        <c:dispUnits/>
        <c:majorUnit val="5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1"/>
          <c:y val="0.1195"/>
          <c:w val="0.4855"/>
          <c:h val="0.24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Graphique 12.3. La part des fractiles de très hauts patrimoines dans le patrimoine privé mondial, 1987-2013</a:t>
            </a:r>
          </a:p>
        </c:rich>
      </c:tx>
      <c:layout>
        <c:manualLayout>
          <c:xMode val="factor"/>
          <c:yMode val="factor"/>
          <c:x val="0.00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7325"/>
          <c:w val="0.96675"/>
          <c:h val="0.86025"/>
        </c:manualLayout>
      </c:layout>
      <c:lineChart>
        <c:grouping val="standard"/>
        <c:varyColors val="0"/>
        <c:ser>
          <c:idx val="1"/>
          <c:order val="0"/>
          <c:tx>
            <c:v>Part du vingt millionième supérieur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'TS12.3'!$A$7:$A$33</c:f>
              <c:numCache>
                <c:ptCount val="27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</c:numCache>
            </c:numRef>
          </c:cat>
          <c:val>
            <c:numRef>
              <c:f>'TS12.3'!$F$7:$F$33</c:f>
              <c:numCache>
                <c:ptCount val="27"/>
                <c:pt idx="0">
                  <c:v>0.003052608261388288</c:v>
                </c:pt>
                <c:pt idx="1">
                  <c:v>0.003782154026507042</c:v>
                </c:pt>
                <c:pt idx="2">
                  <c:v>0.004569189575810251</c:v>
                </c:pt>
                <c:pt idx="3">
                  <c:v>0.004873717322359927</c:v>
                </c:pt>
                <c:pt idx="4">
                  <c:v>0.004889842258308727</c:v>
                </c:pt>
                <c:pt idx="5">
                  <c:v>0.004642910397227421</c:v>
                </c:pt>
                <c:pt idx="6">
                  <c:v>0.0035016809691598154</c:v>
                </c:pt>
                <c:pt idx="7">
                  <c:v>0.0048699852437561805</c:v>
                </c:pt>
                <c:pt idx="8">
                  <c:v>0.005156481699609554</c:v>
                </c:pt>
                <c:pt idx="9">
                  <c:v>0.005473163713495466</c:v>
                </c:pt>
                <c:pt idx="10">
                  <c:v>0.006910857475223493</c:v>
                </c:pt>
                <c:pt idx="11">
                  <c:v>0.0071375237972139335</c:v>
                </c:pt>
                <c:pt idx="12">
                  <c:v>0.007241270769184215</c:v>
                </c:pt>
                <c:pt idx="13">
                  <c:v>0.007228910377079352</c:v>
                </c:pt>
                <c:pt idx="14">
                  <c:v>0.006901982388990543</c:v>
                </c:pt>
                <c:pt idx="15">
                  <c:v>0.00601323275655</c:v>
                </c:pt>
                <c:pt idx="16">
                  <c:v>0.005149340419335314</c:v>
                </c:pt>
                <c:pt idx="17">
                  <c:v>0.0060060672697984235</c:v>
                </c:pt>
                <c:pt idx="18">
                  <c:v>0.006030591884815089</c:v>
                </c:pt>
                <c:pt idx="19">
                  <c:v>0.0061114860818376505</c:v>
                </c:pt>
                <c:pt idx="20">
                  <c:v>0.006950195934164252</c:v>
                </c:pt>
                <c:pt idx="21">
                  <c:v>0.007920737660778155</c:v>
                </c:pt>
                <c:pt idx="22">
                  <c:v>0.005349944709847806</c:v>
                </c:pt>
                <c:pt idx="23">
                  <c:v>0.006838542266409204</c:v>
                </c:pt>
                <c:pt idx="24">
                  <c:v>0.00805198261347627</c:v>
                </c:pt>
                <c:pt idx="25">
                  <c:v>0.008260453606339997</c:v>
                </c:pt>
                <c:pt idx="26">
                  <c:v>0.009161138373453327</c:v>
                </c:pt>
              </c:numCache>
            </c:numRef>
          </c:val>
          <c:smooth val="0"/>
        </c:ser>
        <c:ser>
          <c:idx val="0"/>
          <c:order val="1"/>
          <c:tx>
            <c:v>Part du cent millionnième supérieur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'TS12.3'!$G$7:$G$33</c:f>
              <c:numCache>
                <c:ptCount val="27"/>
                <c:pt idx="0">
                  <c:v>0.0012904083329562733</c:v>
                </c:pt>
                <c:pt idx="1">
                  <c:v>0.0015988042534187499</c:v>
                </c:pt>
                <c:pt idx="2">
                  <c:v>0.0019315024394256886</c:v>
                </c:pt>
                <c:pt idx="3">
                  <c:v>0.0020602333829714495</c:v>
                </c:pt>
                <c:pt idx="4">
                  <c:v>0.0019426537322513849</c:v>
                </c:pt>
                <c:pt idx="5">
                  <c:v>0.0017616971825977702</c:v>
                </c:pt>
                <c:pt idx="6">
                  <c:v>0.0013821500329210708</c:v>
                </c:pt>
                <c:pt idx="7">
                  <c:v>0.0018180933057407342</c:v>
                </c:pt>
                <c:pt idx="8">
                  <c:v>0.0018960287910500713</c:v>
                </c:pt>
                <c:pt idx="9">
                  <c:v>0.0021188761127282855</c:v>
                </c:pt>
                <c:pt idx="10">
                  <c:v>0.0033697314591547064</c:v>
                </c:pt>
                <c:pt idx="11">
                  <c:v>0.0035836900004974715</c:v>
                </c:pt>
                <c:pt idx="12">
                  <c:v>0.003453127614719653</c:v>
                </c:pt>
                <c:pt idx="13">
                  <c:v>0.0033957780027383962</c:v>
                </c:pt>
                <c:pt idx="14">
                  <c:v>0.0034454873823627085</c:v>
                </c:pt>
                <c:pt idx="15">
                  <c:v>0.0030587953984154846</c:v>
                </c:pt>
                <c:pt idx="16">
                  <c:v>0.0025017627918206484</c:v>
                </c:pt>
                <c:pt idx="17">
                  <c:v>0.0028384716569276095</c:v>
                </c:pt>
                <c:pt idx="18">
                  <c:v>0.0027977787043963922</c:v>
                </c:pt>
                <c:pt idx="19">
                  <c:v>0.002684972999677793</c:v>
                </c:pt>
                <c:pt idx="20">
                  <c:v>0.0030229028850954406</c:v>
                </c:pt>
                <c:pt idx="21">
                  <c:v>0.0035058593007912956</c:v>
                </c:pt>
                <c:pt idx="22">
                  <c:v>0.002433096356505598</c:v>
                </c:pt>
                <c:pt idx="23">
                  <c:v>0.003068910902348819</c:v>
                </c:pt>
                <c:pt idx="24">
                  <c:v>0.0036184909692561196</c:v>
                </c:pt>
                <c:pt idx="25">
                  <c:v>0.0037313996650570197</c:v>
                </c:pt>
                <c:pt idx="26">
                  <c:v>0.004220387678026789</c:v>
                </c:pt>
              </c:numCache>
            </c:numRef>
          </c:val>
          <c:smooth val="0"/>
        </c:ser>
        <c:marker val="1"/>
        <c:axId val="1727189"/>
        <c:axId val="15544702"/>
      </c:lineChart>
      <c:catAx>
        <c:axId val="1727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Lecture. Entre 1987 et 2013, la part du vingt millionième supérieur est passée de 0,3% à 0,9% du patrimoine total, et la part du cent millionième de 0,1% à 0,4%.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  </a:t>
                </a:r>
              </a:p>
            </c:rich>
          </c:tx>
          <c:layout>
            <c:manualLayout>
              <c:xMode val="factor"/>
              <c:yMode val="factor"/>
              <c:x val="0.00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5544702"/>
        <c:crosses val="autoZero"/>
        <c:auto val="0"/>
        <c:lblOffset val="100"/>
        <c:tickLblSkip val="3"/>
        <c:tickMarkSkip val="3"/>
        <c:noMultiLvlLbl val="0"/>
      </c:catAx>
      <c:valAx>
        <c:axId val="15544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Part dans le patrimoine privé mondial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2718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"/>
          <c:y val="0.11"/>
          <c:w val="0.36125"/>
          <c:h val="0.1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Graphique 12.4. Le rapport capital/revenu dans le monde, 1870-2100</a:t>
            </a:r>
          </a:p>
        </c:rich>
      </c:tx>
      <c:layout>
        <c:manualLayout>
          <c:xMode val="factor"/>
          <c:yMode val="factor"/>
          <c:x val="-0.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0395"/>
          <c:w val="0.97175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v>Scénario central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'TS12.4'!$A$8:$A$31</c:f>
              <c:numCache>
                <c:ptCount val="24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  <c:pt idx="15">
                  <c:v>2020</c:v>
                </c:pt>
                <c:pt idx="16">
                  <c:v>2030</c:v>
                </c:pt>
                <c:pt idx="17">
                  <c:v>2040</c:v>
                </c:pt>
                <c:pt idx="18">
                  <c:v>2050</c:v>
                </c:pt>
                <c:pt idx="19">
                  <c:v>2060</c:v>
                </c:pt>
                <c:pt idx="20">
                  <c:v>2070</c:v>
                </c:pt>
                <c:pt idx="21">
                  <c:v>2080</c:v>
                </c:pt>
                <c:pt idx="22">
                  <c:v>2090</c:v>
                </c:pt>
                <c:pt idx="23">
                  <c:v>2100</c:v>
                </c:pt>
              </c:numCache>
            </c:numRef>
          </c:xVal>
          <c:yVal>
            <c:numRef>
              <c:f>'TS12.4'!$B$8:$B$31</c:f>
              <c:numCache>
                <c:ptCount val="24"/>
                <c:pt idx="0">
                  <c:v>4.469529333389138</c:v>
                </c:pt>
                <c:pt idx="1">
                  <c:v>4.644941227825645</c:v>
                </c:pt>
                <c:pt idx="2">
                  <c:v>4.734627618800186</c:v>
                </c:pt>
                <c:pt idx="3">
                  <c:v>4.887788188920047</c:v>
                </c:pt>
                <c:pt idx="4">
                  <c:v>5.019197051858351</c:v>
                </c:pt>
                <c:pt idx="5">
                  <c:v>3.576347699552414</c:v>
                </c:pt>
                <c:pt idx="6">
                  <c:v>3.611586819813277</c:v>
                </c:pt>
                <c:pt idx="7">
                  <c:v>3.0097212643966422</c:v>
                </c:pt>
                <c:pt idx="8">
                  <c:v>2.612320277464436</c:v>
                </c:pt>
                <c:pt idx="9">
                  <c:v>2.7540073873501356</c:v>
                </c:pt>
                <c:pt idx="10">
                  <c:v>3.032023700270541</c:v>
                </c:pt>
                <c:pt idx="11">
                  <c:v>3.401402209320093</c:v>
                </c:pt>
                <c:pt idx="12">
                  <c:v>3.934174381055243</c:v>
                </c:pt>
                <c:pt idx="13">
                  <c:v>4.269879558546112</c:v>
                </c:pt>
                <c:pt idx="14">
                  <c:v>4.398796337405904</c:v>
                </c:pt>
                <c:pt idx="15">
                  <c:v>4.496258851418123</c:v>
                </c:pt>
                <c:pt idx="16">
                  <c:v>5.018713448396677</c:v>
                </c:pt>
                <c:pt idx="17">
                  <c:v>5.133097636879297</c:v>
                </c:pt>
                <c:pt idx="18">
                  <c:v>5.571267210819927</c:v>
                </c:pt>
                <c:pt idx="19">
                  <c:v>6.045608499893447</c:v>
                </c:pt>
                <c:pt idx="20">
                  <c:v>6.141979648052615</c:v>
                </c:pt>
                <c:pt idx="21">
                  <c:v>6.2667112552780715</c:v>
                </c:pt>
                <c:pt idx="22">
                  <c:v>6.43159760470359</c:v>
                </c:pt>
                <c:pt idx="23">
                  <c:v>6.670113112273265</c:v>
                </c:pt>
              </c:numCache>
            </c:numRef>
          </c:yVal>
          <c:smooth val="0"/>
        </c:ser>
        <c:axId val="5684591"/>
        <c:axId val="51161320"/>
      </c:scatterChart>
      <c:valAx>
        <c:axId val="5684591"/>
        <c:scaling>
          <c:orientation val="minMax"/>
          <c:max val="2100"/>
          <c:min val="18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d'après les simulations du scénario central, le rapport capital/revenu au niveau mondial pourrait s'approcher de 700% d'ici à la fin du 21e siècle.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1161320"/>
        <c:crosses val="autoZero"/>
        <c:crossBetween val="midCat"/>
        <c:dispUnits/>
        <c:majorUnit val="20"/>
      </c:valAx>
      <c:valAx>
        <c:axId val="51161320"/>
        <c:scaling>
          <c:orientation val="minMax"/>
          <c:max val="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Valeur du capital privé, en % du revenu mondial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684591"/>
        <c:crossesAt val="1810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Graphique 12.5. La répartition du capital mondial 1870-2100 
</a:t>
            </a:r>
          </a:p>
        </c:rich>
      </c:tx>
      <c:layout>
        <c:manualLayout>
          <c:xMode val="factor"/>
          <c:yMode val="factor"/>
          <c:x val="0.00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475"/>
          <c:w val="0.96325"/>
          <c:h val="0.8685"/>
        </c:manualLayout>
      </c:layout>
      <c:areaChart>
        <c:grouping val="stacked"/>
        <c:varyColors val="0"/>
        <c:ser>
          <c:idx val="1"/>
          <c:order val="0"/>
          <c:tx>
            <c:v>Europe</c:v>
          </c:tx>
          <c:spPr>
            <a:solidFill>
              <a:srgbClr val="0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'TS12.4'!$A$81:$A$104</c:f>
              <c:numCache>
                <c:ptCount val="24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  <c:pt idx="15">
                  <c:v>2020</c:v>
                </c:pt>
                <c:pt idx="16">
                  <c:v>2030</c:v>
                </c:pt>
                <c:pt idx="17">
                  <c:v>2040</c:v>
                </c:pt>
                <c:pt idx="18">
                  <c:v>2050</c:v>
                </c:pt>
                <c:pt idx="19">
                  <c:v>2060</c:v>
                </c:pt>
                <c:pt idx="20">
                  <c:v>2070</c:v>
                </c:pt>
                <c:pt idx="21">
                  <c:v>2080</c:v>
                </c:pt>
                <c:pt idx="22">
                  <c:v>2090</c:v>
                </c:pt>
                <c:pt idx="23">
                  <c:v>2100</c:v>
                </c:pt>
              </c:numCache>
            </c:numRef>
          </c:cat>
          <c:val>
            <c:numRef>
              <c:f>'TS12.4'!$C$81:$C$104</c:f>
              <c:numCache>
                <c:ptCount val="24"/>
                <c:pt idx="0">
                  <c:v>2.665153834428229</c:v>
                </c:pt>
                <c:pt idx="1">
                  <c:v>2.688117788748462</c:v>
                </c:pt>
                <c:pt idx="2">
                  <c:v>2.6203684153207476</c:v>
                </c:pt>
                <c:pt idx="3">
                  <c:v>2.718312118073074</c:v>
                </c:pt>
                <c:pt idx="4">
                  <c:v>2.7650927017152087</c:v>
                </c:pt>
                <c:pt idx="5">
                  <c:v>1.2283014756963249</c:v>
                </c:pt>
                <c:pt idx="6">
                  <c:v>1.3597353649737083</c:v>
                </c:pt>
                <c:pt idx="7">
                  <c:v>1.179284190197912</c:v>
                </c:pt>
                <c:pt idx="8">
                  <c:v>0.7551425971765495</c:v>
                </c:pt>
                <c:pt idx="9">
                  <c:v>0.8542285755235627</c:v>
                </c:pt>
                <c:pt idx="10">
                  <c:v>0.90706142714936</c:v>
                </c:pt>
                <c:pt idx="11">
                  <c:v>0.9689810727372344</c:v>
                </c:pt>
                <c:pt idx="12">
                  <c:v>1.1710215347155055</c:v>
                </c:pt>
                <c:pt idx="13">
                  <c:v>1.2831864367565644</c:v>
                </c:pt>
                <c:pt idx="14">
                  <c:v>1.2580028380377057</c:v>
                </c:pt>
                <c:pt idx="15">
                  <c:v>1.0729004659793642</c:v>
                </c:pt>
                <c:pt idx="16">
                  <c:v>0.9995619682369565</c:v>
                </c:pt>
                <c:pt idx="17">
                  <c:v>0.8541827059444749</c:v>
                </c:pt>
                <c:pt idx="18">
                  <c:v>0.792501409315736</c:v>
                </c:pt>
                <c:pt idx="19">
                  <c:v>0.7779170506834671</c:v>
                </c:pt>
                <c:pt idx="20">
                  <c:v>0.7780236799639052</c:v>
                </c:pt>
                <c:pt idx="21">
                  <c:v>0.7772958673476548</c:v>
                </c:pt>
                <c:pt idx="22">
                  <c:v>0.7891239372961086</c:v>
                </c:pt>
                <c:pt idx="23">
                  <c:v>0.808882796796241</c:v>
                </c:pt>
              </c:numCache>
            </c:numRef>
          </c:val>
        </c:ser>
        <c:ser>
          <c:idx val="0"/>
          <c:order val="1"/>
          <c:tx>
            <c:v>Amérique</c:v>
          </c:tx>
          <c:spPr>
            <a:solidFill>
              <a:srgbClr val="80808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'TS12.4'!$A$81:$A$104</c:f>
              <c:numCache>
                <c:ptCount val="24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  <c:pt idx="15">
                  <c:v>2020</c:v>
                </c:pt>
                <c:pt idx="16">
                  <c:v>2030</c:v>
                </c:pt>
                <c:pt idx="17">
                  <c:v>2040</c:v>
                </c:pt>
                <c:pt idx="18">
                  <c:v>2050</c:v>
                </c:pt>
                <c:pt idx="19">
                  <c:v>2060</c:v>
                </c:pt>
                <c:pt idx="20">
                  <c:v>2070</c:v>
                </c:pt>
                <c:pt idx="21">
                  <c:v>2080</c:v>
                </c:pt>
                <c:pt idx="22">
                  <c:v>2090</c:v>
                </c:pt>
                <c:pt idx="23">
                  <c:v>2100</c:v>
                </c:pt>
              </c:numCache>
            </c:numRef>
          </c:cat>
          <c:val>
            <c:numRef>
              <c:f>'TS12.4'!$D$81:$D$104</c:f>
              <c:numCache>
                <c:ptCount val="24"/>
                <c:pt idx="0">
                  <c:v>0.48112567920886384</c:v>
                </c:pt>
                <c:pt idx="1">
                  <c:v>0.7392732003350752</c:v>
                </c:pt>
                <c:pt idx="2">
                  <c:v>0.8064777108425951</c:v>
                </c:pt>
                <c:pt idx="3">
                  <c:v>0.7714633243153944</c:v>
                </c:pt>
                <c:pt idx="4">
                  <c:v>1.0378556860722996</c:v>
                </c:pt>
                <c:pt idx="5">
                  <c:v>1.2206465634201258</c:v>
                </c:pt>
                <c:pt idx="6">
                  <c:v>1.3516805815652009</c:v>
                </c:pt>
                <c:pt idx="7">
                  <c:v>0.9703743291565321</c:v>
                </c:pt>
                <c:pt idx="8">
                  <c:v>1.247723937835385</c:v>
                </c:pt>
                <c:pt idx="9">
                  <c:v>1.190962534960153</c:v>
                </c:pt>
                <c:pt idx="10">
                  <c:v>1.1284706713275503</c:v>
                </c:pt>
                <c:pt idx="11">
                  <c:v>1.205890004679719</c:v>
                </c:pt>
                <c:pt idx="12">
                  <c:v>1.3094718045116858</c:v>
                </c:pt>
                <c:pt idx="13">
                  <c:v>1.3458940635211118</c:v>
                </c:pt>
                <c:pt idx="14">
                  <c:v>1.1748859539655188</c:v>
                </c:pt>
                <c:pt idx="15">
                  <c:v>1.1297523576830009</c:v>
                </c:pt>
                <c:pt idx="16">
                  <c:v>1.174500535284078</c:v>
                </c:pt>
                <c:pt idx="17">
                  <c:v>1.1115362165255138</c:v>
                </c:pt>
                <c:pt idx="18">
                  <c:v>1.1329519282609692</c:v>
                </c:pt>
                <c:pt idx="19">
                  <c:v>1.2129815550807</c:v>
                </c:pt>
                <c:pt idx="20">
                  <c:v>1.229277675732913</c:v>
                </c:pt>
                <c:pt idx="21">
                  <c:v>1.2507069753515814</c:v>
                </c:pt>
                <c:pt idx="22">
                  <c:v>1.2931804118013757</c:v>
                </c:pt>
                <c:pt idx="23">
                  <c:v>1.3498828339825253</c:v>
                </c:pt>
              </c:numCache>
            </c:numRef>
          </c:val>
        </c:ser>
        <c:ser>
          <c:idx val="3"/>
          <c:order val="2"/>
          <c:tx>
            <c:v>Afrique</c:v>
          </c:tx>
          <c:spPr>
            <a:solidFill>
              <a:srgbClr val="FFFFFF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'TS12.4'!$A$81:$A$104</c:f>
              <c:numCache>
                <c:ptCount val="24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  <c:pt idx="15">
                  <c:v>2020</c:v>
                </c:pt>
                <c:pt idx="16">
                  <c:v>2030</c:v>
                </c:pt>
                <c:pt idx="17">
                  <c:v>2040</c:v>
                </c:pt>
                <c:pt idx="18">
                  <c:v>2050</c:v>
                </c:pt>
                <c:pt idx="19">
                  <c:v>2060</c:v>
                </c:pt>
                <c:pt idx="20">
                  <c:v>2070</c:v>
                </c:pt>
                <c:pt idx="21">
                  <c:v>2080</c:v>
                </c:pt>
                <c:pt idx="22">
                  <c:v>2090</c:v>
                </c:pt>
                <c:pt idx="23">
                  <c:v>2100</c:v>
                </c:pt>
              </c:numCache>
            </c:numRef>
          </c:cat>
          <c:val>
            <c:numRef>
              <c:f>'TS12.4'!$E$81:$E$104</c:f>
              <c:numCache>
                <c:ptCount val="24"/>
                <c:pt idx="0">
                  <c:v>0.09119009770358905</c:v>
                </c:pt>
                <c:pt idx="1">
                  <c:v>0.0944508436929648</c:v>
                </c:pt>
                <c:pt idx="2">
                  <c:v>0.10990581133253788</c:v>
                </c:pt>
                <c:pt idx="3">
                  <c:v>0.12536077897211093</c:v>
                </c:pt>
                <c:pt idx="4">
                  <c:v>0.11726266682650428</c:v>
                </c:pt>
                <c:pt idx="5">
                  <c:v>0.13578674699833196</c:v>
                </c:pt>
                <c:pt idx="6">
                  <c:v>0.10184006024874898</c:v>
                </c:pt>
                <c:pt idx="7">
                  <c:v>0.10184006024874898</c:v>
                </c:pt>
                <c:pt idx="8">
                  <c:v>0.11573312037761971</c:v>
                </c:pt>
                <c:pt idx="9">
                  <c:v>0.11269686660381825</c:v>
                </c:pt>
                <c:pt idx="10">
                  <c:v>0.14621415044002237</c:v>
                </c:pt>
                <c:pt idx="11">
                  <c:v>0.14512869625320457</c:v>
                </c:pt>
                <c:pt idx="12">
                  <c:v>0.1440432420663868</c:v>
                </c:pt>
                <c:pt idx="13">
                  <c:v>0.15126146020606948</c:v>
                </c:pt>
                <c:pt idx="14">
                  <c:v>0.1584796783457522</c:v>
                </c:pt>
                <c:pt idx="15">
                  <c:v>0.19378165826321408</c:v>
                </c:pt>
                <c:pt idx="16">
                  <c:v>0.2632051767534733</c:v>
                </c:pt>
                <c:pt idx="17">
                  <c:v>0.3311030528119564</c:v>
                </c:pt>
                <c:pt idx="18">
                  <c:v>0.4450328194648143</c:v>
                </c:pt>
                <c:pt idx="19">
                  <c:v>0.5989046676239773</c:v>
                </c:pt>
                <c:pt idx="20">
                  <c:v>0.6968072419662802</c:v>
                </c:pt>
                <c:pt idx="21">
                  <c:v>0.8065952724934218</c:v>
                </c:pt>
                <c:pt idx="22">
                  <c:v>0.869754629315382</c:v>
                </c:pt>
                <c:pt idx="23">
                  <c:v>0.9514887011110946</c:v>
                </c:pt>
              </c:numCache>
            </c:numRef>
          </c:val>
        </c:ser>
        <c:ser>
          <c:idx val="2"/>
          <c:order val="3"/>
          <c:tx>
            <c:v>Asie</c:v>
          </c:tx>
          <c:spPr>
            <a:solidFill>
              <a:srgbClr val="C0C0C0"/>
            </a:solid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'TS12.4'!$A$81:$A$104</c:f>
              <c:numCache>
                <c:ptCount val="24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  <c:pt idx="15">
                  <c:v>2020</c:v>
                </c:pt>
                <c:pt idx="16">
                  <c:v>2030</c:v>
                </c:pt>
                <c:pt idx="17">
                  <c:v>2040</c:v>
                </c:pt>
                <c:pt idx="18">
                  <c:v>2050</c:v>
                </c:pt>
                <c:pt idx="19">
                  <c:v>2060</c:v>
                </c:pt>
                <c:pt idx="20">
                  <c:v>2070</c:v>
                </c:pt>
                <c:pt idx="21">
                  <c:v>2080</c:v>
                </c:pt>
                <c:pt idx="22">
                  <c:v>2090</c:v>
                </c:pt>
                <c:pt idx="23">
                  <c:v>2100</c:v>
                </c:pt>
              </c:numCache>
            </c:numRef>
          </c:cat>
          <c:val>
            <c:numRef>
              <c:f>'TS12.4'!$F$81:$F$104</c:f>
              <c:numCache>
                <c:ptCount val="24"/>
                <c:pt idx="0">
                  <c:v>1.232059722048457</c:v>
                </c:pt>
                <c:pt idx="1">
                  <c:v>1.1230993950491426</c:v>
                </c:pt>
                <c:pt idx="2">
                  <c:v>1.1978756813043054</c:v>
                </c:pt>
                <c:pt idx="3">
                  <c:v>1.2726519675594676</c:v>
                </c:pt>
                <c:pt idx="4">
                  <c:v>1.0989859972443379</c:v>
                </c:pt>
                <c:pt idx="5">
                  <c:v>0.9916129134376314</c:v>
                </c:pt>
                <c:pt idx="6">
                  <c:v>0.7983308130256188</c:v>
                </c:pt>
                <c:pt idx="7">
                  <c:v>0.7582226847934488</c:v>
                </c:pt>
                <c:pt idx="8">
                  <c:v>0.49372062207488204</c:v>
                </c:pt>
                <c:pt idx="9">
                  <c:v>0.5961194102626017</c:v>
                </c:pt>
                <c:pt idx="10">
                  <c:v>0.8502774513536087</c:v>
                </c:pt>
                <c:pt idx="11">
                  <c:v>1.081402435649935</c:v>
                </c:pt>
                <c:pt idx="12">
                  <c:v>1.3096377997616648</c:v>
                </c:pt>
                <c:pt idx="13">
                  <c:v>1.489537598062366</c:v>
                </c:pt>
                <c:pt idx="14">
                  <c:v>1.8074278670569273</c:v>
                </c:pt>
                <c:pt idx="15">
                  <c:v>2.099824369492543</c:v>
                </c:pt>
                <c:pt idx="16">
                  <c:v>2.581445768122169</c:v>
                </c:pt>
                <c:pt idx="17">
                  <c:v>2.8362756615973526</c:v>
                </c:pt>
                <c:pt idx="18">
                  <c:v>3.2007810537784067</c:v>
                </c:pt>
                <c:pt idx="19">
                  <c:v>3.4558052265053036</c:v>
                </c:pt>
                <c:pt idx="20">
                  <c:v>3.4378710503895173</c:v>
                </c:pt>
                <c:pt idx="21">
                  <c:v>3.4321131400854132</c:v>
                </c:pt>
                <c:pt idx="22">
                  <c:v>3.4795386262907244</c:v>
                </c:pt>
                <c:pt idx="23">
                  <c:v>3.5598587803834043</c:v>
                </c:pt>
              </c:numCache>
            </c:numRef>
          </c:val>
        </c:ser>
        <c:axId val="57798697"/>
        <c:axId val="50426226"/>
      </c:areaChart>
      <c:catAx>
        <c:axId val="57798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d'après le scénario central, les pays asiatiques devraient détenir environ la moitié du capital mondial au 21e siècle.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   </a:t>
                </a:r>
              </a:p>
            </c:rich>
          </c:tx>
          <c:layout>
            <c:manualLayout>
              <c:xMode val="factor"/>
              <c:yMode val="factor"/>
              <c:x val="0.0005"/>
              <c:y val="-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0426226"/>
        <c:crossesAt val="0"/>
        <c:auto val="1"/>
        <c:lblOffset val="100"/>
        <c:tickLblSkip val="2"/>
        <c:noMultiLvlLbl val="0"/>
      </c:catAx>
      <c:valAx>
        <c:axId val="50426226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Valeur du capital privé, en % revenu mondial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7798697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Graphique 12.6. La position patrimoniale des pays riches 
vis-à-vis du reste du monde  </a:t>
            </a:r>
          </a:p>
        </c:rich>
      </c:tx>
      <c:layout>
        <c:manualLayout>
          <c:xMode val="factor"/>
          <c:yMode val="factor"/>
          <c:x val="-0.01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425"/>
          <c:w val="0.97325"/>
          <c:h val="0.845"/>
        </c:manualLayout>
      </c:layout>
      <c:lineChart>
        <c:grouping val="standard"/>
        <c:varyColors val="0"/>
        <c:ser>
          <c:idx val="0"/>
          <c:order val="0"/>
          <c:tx>
            <c:strRef>
              <c:f>'TS12.5'!$D$4</c:f>
              <c:strCache>
                <c:ptCount val="1"/>
                <c:pt idx="0">
                  <c:v>Japon</c:v>
                </c:pt>
              </c:strCache>
            </c:strRef>
          </c:tx>
          <c:spPr>
            <a:ln w="254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'TS12.5'!$A$5:$A$28</c:f>
              <c:numCache>
                <c:ptCount val="24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</c:numCache>
            </c:numRef>
          </c:cat>
          <c:val>
            <c:numRef>
              <c:f>'TS12.5'!$D$5:$D$28</c:f>
              <c:numCache>
                <c:ptCount val="24"/>
                <c:pt idx="0">
                  <c:v>0.010442152820767658</c:v>
                </c:pt>
                <c:pt idx="1">
                  <c:v>0.012259608008380241</c:v>
                </c:pt>
                <c:pt idx="2">
                  <c:v>0.014404596248145423</c:v>
                </c:pt>
                <c:pt idx="3">
                  <c:v>0.015606267619854461</c:v>
                </c:pt>
                <c:pt idx="4">
                  <c:v>0.014948773364686573</c:v>
                </c:pt>
                <c:pt idx="5">
                  <c:v>0.01497660754589369</c:v>
                </c:pt>
                <c:pt idx="6">
                  <c:v>0.016667806680679294</c:v>
                </c:pt>
                <c:pt idx="7">
                  <c:v>0.020923045780163158</c:v>
                </c:pt>
                <c:pt idx="8">
                  <c:v>0.024522033771866042</c:v>
                </c:pt>
                <c:pt idx="9">
                  <c:v>0.025750400298520545</c:v>
                </c:pt>
                <c:pt idx="10">
                  <c:v>0.027534683890597468</c:v>
                </c:pt>
                <c:pt idx="11">
                  <c:v>0.029393775159325446</c:v>
                </c:pt>
                <c:pt idx="12">
                  <c:v>0.03173038774386598</c:v>
                </c:pt>
                <c:pt idx="13">
                  <c:v>0.038332006457663076</c:v>
                </c:pt>
                <c:pt idx="14">
                  <c:v>0.026570453302355482</c:v>
                </c:pt>
                <c:pt idx="15">
                  <c:v>0.035949948306175025</c:v>
                </c:pt>
                <c:pt idx="16">
                  <c:v>0.04249055351575408</c:v>
                </c:pt>
                <c:pt idx="17">
                  <c:v>0.043941872328157654</c:v>
                </c:pt>
                <c:pt idx="18">
                  <c:v>0.0430901825581375</c:v>
                </c:pt>
                <c:pt idx="19">
                  <c:v>0.04228922979024999</c:v>
                </c:pt>
                <c:pt idx="20">
                  <c:v>0.03356806162909842</c:v>
                </c:pt>
                <c:pt idx="21">
                  <c:v>0.036558106311125306</c:v>
                </c:pt>
                <c:pt idx="22">
                  <c:v>0.03929797393827008</c:v>
                </c:pt>
                <c:pt idx="23">
                  <c:v>0.040484726714061524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'TS12.5'!$C$4</c:f>
              <c:strCache>
                <c:ptCount val="1"/>
                <c:pt idx="0">
                  <c:v>Etats-Unis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'TS12.5'!$A$5:$A$28</c:f>
              <c:numCache>
                <c:ptCount val="24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</c:numCache>
            </c:numRef>
          </c:cat>
          <c:val>
            <c:numRef>
              <c:f>'TS12.5'!$C$5:$C$28</c:f>
              <c:numCache>
                <c:ptCount val="24"/>
                <c:pt idx="0">
                  <c:v>0.004965976791130668</c:v>
                </c:pt>
                <c:pt idx="1">
                  <c:v>-0.0018869563168744678</c:v>
                </c:pt>
                <c:pt idx="2">
                  <c:v>-0.0042433438063761725</c:v>
                </c:pt>
                <c:pt idx="3">
                  <c:v>-0.008957772730682129</c:v>
                </c:pt>
                <c:pt idx="4">
                  <c:v>-0.012553472240961426</c:v>
                </c:pt>
                <c:pt idx="5">
                  <c:v>-0.010517120284416093</c:v>
                </c:pt>
                <c:pt idx="6">
                  <c:v>-0.01269447850616831</c:v>
                </c:pt>
                <c:pt idx="7">
                  <c:v>-0.016743561277149873</c:v>
                </c:pt>
                <c:pt idx="8">
                  <c:v>-0.011420012420651379</c:v>
                </c:pt>
                <c:pt idx="9">
                  <c:v>-0.01115486647144282</c:v>
                </c:pt>
                <c:pt idx="10">
                  <c:v>-0.014488148897157037</c:v>
                </c:pt>
                <c:pt idx="11">
                  <c:v>-0.015284913238261767</c:v>
                </c:pt>
                <c:pt idx="12">
                  <c:v>-0.026019420009682267</c:v>
                </c:pt>
                <c:pt idx="13">
                  <c:v>-0.028539621021681828</c:v>
                </c:pt>
                <c:pt idx="14">
                  <c:v>-0.023428517064085722</c:v>
                </c:pt>
                <c:pt idx="15">
                  <c:v>-0.04150965916416191</c:v>
                </c:pt>
                <c:pt idx="16">
                  <c:v>-0.05857878490513193</c:v>
                </c:pt>
                <c:pt idx="17">
                  <c:v>-0.06144845204889212</c:v>
                </c:pt>
                <c:pt idx="18">
                  <c:v>-0.05591299821996053</c:v>
                </c:pt>
                <c:pt idx="19">
                  <c:v>-0.053393875083014776</c:v>
                </c:pt>
                <c:pt idx="20">
                  <c:v>-0.04234310569905559</c:v>
                </c:pt>
                <c:pt idx="21">
                  <c:v>-0.04431164624951508</c:v>
                </c:pt>
                <c:pt idx="22">
                  <c:v>-0.0321557614103625</c:v>
                </c:pt>
                <c:pt idx="23">
                  <c:v>-0.053114676485869775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'TS12.5'!$E$4</c:f>
              <c:strCache>
                <c:ptCount val="1"/>
                <c:pt idx="0">
                  <c:v>Pays riches (Europe + Etats-Unis + Japon)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'TS12.5'!$A$5:$A$28</c:f>
              <c:numCache>
                <c:ptCount val="24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</c:numCache>
            </c:numRef>
          </c:cat>
          <c:val>
            <c:numRef>
              <c:f>'TS12.5'!$E$5:$E$28</c:f>
              <c:numCache>
                <c:ptCount val="24"/>
                <c:pt idx="0">
                  <c:v>0.0034033236221990802</c:v>
                </c:pt>
                <c:pt idx="1">
                  <c:v>0.00038720967032994727</c:v>
                </c:pt>
                <c:pt idx="2">
                  <c:v>0.003843806617391055</c:v>
                </c:pt>
                <c:pt idx="3">
                  <c:v>-0.00012398405189193752</c:v>
                </c:pt>
                <c:pt idx="4">
                  <c:v>-0.007406217269894537</c:v>
                </c:pt>
                <c:pt idx="5">
                  <c:v>-0.010318268757543802</c:v>
                </c:pt>
                <c:pt idx="6">
                  <c:v>-0.01517520959748412</c:v>
                </c:pt>
                <c:pt idx="7">
                  <c:v>-0.014694739607492378</c:v>
                </c:pt>
                <c:pt idx="8">
                  <c:v>-0.007743736347510424</c:v>
                </c:pt>
                <c:pt idx="9">
                  <c:v>-0.004684050757095231</c:v>
                </c:pt>
                <c:pt idx="10">
                  <c:v>-0.009382679708361005</c:v>
                </c:pt>
                <c:pt idx="11">
                  <c:v>-0.00731125559419025</c:v>
                </c:pt>
                <c:pt idx="12">
                  <c:v>-0.009640050738350968</c:v>
                </c:pt>
                <c:pt idx="13">
                  <c:v>-0.020750816415221838</c:v>
                </c:pt>
                <c:pt idx="14">
                  <c:v>-0.0252075311441961</c:v>
                </c:pt>
                <c:pt idx="15">
                  <c:v>-0.028681059687305034</c:v>
                </c:pt>
                <c:pt idx="16">
                  <c:v>-0.03332371853288956</c:v>
                </c:pt>
                <c:pt idx="17">
                  <c:v>-0.046363773264445726</c:v>
                </c:pt>
                <c:pt idx="18">
                  <c:v>-0.04604474945865453</c:v>
                </c:pt>
                <c:pt idx="19">
                  <c:v>-0.05100930645084773</c:v>
                </c:pt>
                <c:pt idx="20">
                  <c:v>-0.03687045790607852</c:v>
                </c:pt>
                <c:pt idx="21">
                  <c:v>-0.047707235515848156</c:v>
                </c:pt>
                <c:pt idx="22">
                  <c:v>-0.03491517164808978</c:v>
                </c:pt>
                <c:pt idx="23">
                  <c:v>-0.050350239166858546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'TS12.5'!$B$4</c:f>
              <c:strCache>
                <c:ptCount val="1"/>
                <c:pt idx="0">
                  <c:v>Europe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'TS12.5'!$A$5:$A$28</c:f>
              <c:numCache>
                <c:ptCount val="24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</c:numCache>
            </c:numRef>
          </c:cat>
          <c:val>
            <c:numRef>
              <c:f>'TS12.5'!$B$5:$B$28</c:f>
              <c:numCache>
                <c:ptCount val="24"/>
                <c:pt idx="0">
                  <c:v>-0.012004805989699247</c:v>
                </c:pt>
                <c:pt idx="1">
                  <c:v>-0.009985442021175826</c:v>
                </c:pt>
                <c:pt idx="2">
                  <c:v>-0.006317445824378196</c:v>
                </c:pt>
                <c:pt idx="3">
                  <c:v>-0.00677247894106427</c:v>
                </c:pt>
                <c:pt idx="4">
                  <c:v>-0.009801518393619684</c:v>
                </c:pt>
                <c:pt idx="5">
                  <c:v>-0.0147777560190214</c:v>
                </c:pt>
                <c:pt idx="6">
                  <c:v>-0.019148537771995103</c:v>
                </c:pt>
                <c:pt idx="7">
                  <c:v>-0.018874224110505662</c:v>
                </c:pt>
                <c:pt idx="8">
                  <c:v>-0.020845757698725088</c:v>
                </c:pt>
                <c:pt idx="9">
                  <c:v>-0.019279584584172955</c:v>
                </c:pt>
                <c:pt idx="10">
                  <c:v>-0.022429214701801436</c:v>
                </c:pt>
                <c:pt idx="11">
                  <c:v>-0.02142011751525393</c:v>
                </c:pt>
                <c:pt idx="12">
                  <c:v>-0.015351018472534683</c:v>
                </c:pt>
                <c:pt idx="13">
                  <c:v>-0.030543201851203086</c:v>
                </c:pt>
                <c:pt idx="14">
                  <c:v>-0.02834946738246586</c:v>
                </c:pt>
                <c:pt idx="15">
                  <c:v>-0.02312134882931815</c:v>
                </c:pt>
                <c:pt idx="16">
                  <c:v>-0.01723548714351171</c:v>
                </c:pt>
                <c:pt idx="17">
                  <c:v>-0.02885719354371126</c:v>
                </c:pt>
                <c:pt idx="18">
                  <c:v>-0.0332219337968315</c:v>
                </c:pt>
                <c:pt idx="19">
                  <c:v>-0.039904661158082944</c:v>
                </c:pt>
                <c:pt idx="20">
                  <c:v>-0.028095413836121352</c:v>
                </c:pt>
                <c:pt idx="21">
                  <c:v>-0.039953695577458384</c:v>
                </c:pt>
                <c:pt idx="22">
                  <c:v>-0.04205738417599736</c:v>
                </c:pt>
                <c:pt idx="23">
                  <c:v>-0.037720289395050295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'TS12.5'!$F$4</c:f>
              <c:strCache>
                <c:ptCount val="1"/>
                <c:pt idx="0">
                  <c:v>Paradis fiscaux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'TS12.5'!$A$5:$A$28</c:f>
              <c:numCache>
                <c:ptCount val="24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</c:numCache>
            </c:numRef>
          </c:cat>
          <c:val>
            <c:numRef>
              <c:f>'TS12.5'!$F$5:$F$28</c:f>
              <c:numCache>
                <c:ptCount val="24"/>
                <c:pt idx="16">
                  <c:v>0.07910253075015379</c:v>
                </c:pt>
                <c:pt idx="17">
                  <c:v>0.07188854851292703</c:v>
                </c:pt>
                <c:pt idx="18">
                  <c:v>0.07631196903781055</c:v>
                </c:pt>
                <c:pt idx="19">
                  <c:v>0.0785856237356609</c:v>
                </c:pt>
                <c:pt idx="20">
                  <c:v>0.08055171083955698</c:v>
                </c:pt>
                <c:pt idx="21">
                  <c:v>0.0760211262877047</c:v>
                </c:pt>
                <c:pt idx="22">
                  <c:v>0.09187150038836475</c:v>
                </c:pt>
                <c:pt idx="23">
                  <c:v>0.07315096558651149</c:v>
                </c:pt>
              </c:numCache>
            </c:numRef>
          </c:val>
          <c:smooth val="0"/>
        </c:ser>
        <c:marker val="1"/>
        <c:axId val="51182851"/>
        <c:axId val="57992476"/>
      </c:lineChart>
      <c:catAx>
        <c:axId val="51182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les actifs financiers non enregistrés détenus dans les paradis fiscaux sont plus élevés que la dette étrangère nette officielle des pays riches.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7992476"/>
        <c:crosses val="autoZero"/>
        <c:auto val="1"/>
        <c:lblOffset val="100"/>
        <c:tickLblSkip val="5"/>
        <c:tickMarkSkip val="5"/>
        <c:noMultiLvlLbl val="0"/>
      </c:catAx>
      <c:valAx>
        <c:axId val="57992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Actifs étrangers nets (% production mondiale)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11828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00000000000001" right="0.7500000000000001" top="0.984251969" bottom="0.984251969" header="0.5" footer="0.5"/>
  <pageSetup fitToHeight="0" fitToWidth="0"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0.5115</cdr:x>
      <cdr:y>0.5015</cdr:y>
    </cdr:from>
    <cdr:to>
      <cdr:x>0.52375</cdr:x>
      <cdr:y>0.53425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724400" y="2867025"/>
          <a:ext cx="1143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,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0.75175</cdr:x>
      <cdr:y>0.6175</cdr:y>
    </cdr:from>
    <cdr:to>
      <cdr:x>0.77575</cdr:x>
      <cdr:y>0.6495</cdr:y>
    </cdr:to>
    <cdr:sp>
      <cdr:nvSpPr>
        <cdr:cNvPr id="1" name="Line 2"/>
        <cdr:cNvSpPr>
          <a:spLocks/>
        </cdr:cNvSpPr>
      </cdr:nvSpPr>
      <cdr:spPr>
        <a:xfrm flipH="1">
          <a:off x="6943725" y="3524250"/>
          <a:ext cx="2190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0.80075</cdr:x>
      <cdr:y>0.757</cdr:y>
    </cdr:from>
    <cdr:to>
      <cdr:x>0.83</cdr:x>
      <cdr:y>0.8035</cdr:y>
    </cdr:to>
    <cdr:sp>
      <cdr:nvSpPr>
        <cdr:cNvPr id="2" name="Line 3"/>
        <cdr:cNvSpPr>
          <a:spLocks/>
        </cdr:cNvSpPr>
      </cdr:nvSpPr>
      <cdr:spPr>
        <a:xfrm flipH="1" flipV="1">
          <a:off x="7391400" y="4324350"/>
          <a:ext cx="2667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0.16675</cdr:x>
      <cdr:y>0.38875</cdr:y>
    </cdr:from>
    <cdr:to>
      <cdr:x>0.26125</cdr:x>
      <cdr:y>0.44325</cdr:y>
    </cdr:to>
    <cdr:sp>
      <cdr:nvSpPr>
        <cdr:cNvPr id="3" name="Text Box 5"/>
        <cdr:cNvSpPr txBox="1">
          <a:spLocks noChangeArrowheads="1"/>
        </cdr:cNvSpPr>
      </cdr:nvSpPr>
      <cdr:spPr>
        <a:xfrm>
          <a:off x="1533525" y="2219325"/>
          <a:ext cx="876300" cy="3143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Japon</a:t>
          </a:r>
        </a:p>
      </cdr:txBody>
    </cdr:sp>
  </cdr:relSizeAnchor>
  <cdr:relSizeAnchor xmlns:cdr="http://schemas.openxmlformats.org/drawingml/2006/chartDrawing">
    <cdr:from>
      <cdr:x>0.7525</cdr:x>
      <cdr:y>0.568</cdr:y>
    </cdr:from>
    <cdr:to>
      <cdr:x>0.839</cdr:x>
      <cdr:y>0.6175</cdr:y>
    </cdr:to>
    <cdr:sp>
      <cdr:nvSpPr>
        <cdr:cNvPr id="4" name="Text Box 6"/>
        <cdr:cNvSpPr txBox="1">
          <a:spLocks noChangeArrowheads="1"/>
        </cdr:cNvSpPr>
      </cdr:nvSpPr>
      <cdr:spPr>
        <a:xfrm>
          <a:off x="6943725" y="3238500"/>
          <a:ext cx="800100" cy="2857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0.83</cdr:x>
      <cdr:y>0.7855</cdr:y>
    </cdr:from>
    <cdr:to>
      <cdr:x>0.9265</cdr:x>
      <cdr:y>0.84525</cdr:y>
    </cdr:to>
    <cdr:sp>
      <cdr:nvSpPr>
        <cdr:cNvPr id="5" name="Text Box 7"/>
        <cdr:cNvSpPr txBox="1">
          <a:spLocks noChangeArrowheads="1"/>
        </cdr:cNvSpPr>
      </cdr:nvSpPr>
      <cdr:spPr>
        <a:xfrm>
          <a:off x="7667625" y="4486275"/>
          <a:ext cx="895350" cy="3429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Etats-Unis</a:t>
          </a:r>
        </a:p>
      </cdr:txBody>
    </cdr:sp>
  </cdr:relSizeAnchor>
  <cdr:relSizeAnchor xmlns:cdr="http://schemas.openxmlformats.org/drawingml/2006/chartDrawing">
    <cdr:from>
      <cdr:x>0.26125</cdr:x>
      <cdr:y>0.3985</cdr:y>
    </cdr:from>
    <cdr:to>
      <cdr:x>0.3005</cdr:x>
      <cdr:y>0.459</cdr:y>
    </cdr:to>
    <cdr:sp>
      <cdr:nvSpPr>
        <cdr:cNvPr id="6" name="Line 8"/>
        <cdr:cNvSpPr>
          <a:spLocks/>
        </cdr:cNvSpPr>
      </cdr:nvSpPr>
      <cdr:spPr>
        <a:xfrm>
          <a:off x="2409825" y="2276475"/>
          <a:ext cx="3619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0.4905</cdr:x>
      <cdr:y>0.6995</cdr:y>
    </cdr:from>
    <cdr:to>
      <cdr:x>0.707</cdr:x>
      <cdr:y>0.74975</cdr:y>
    </cdr:to>
    <cdr:sp>
      <cdr:nvSpPr>
        <cdr:cNvPr id="7" name="Line 9"/>
        <cdr:cNvSpPr>
          <a:spLocks/>
        </cdr:cNvSpPr>
      </cdr:nvSpPr>
      <cdr:spPr>
        <a:xfrm flipV="1">
          <a:off x="4524375" y="3990975"/>
          <a:ext cx="20002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0.157</cdr:x>
      <cdr:y>0.7415</cdr:y>
    </cdr:from>
    <cdr:to>
      <cdr:x>0.4905</cdr:x>
      <cdr:y>0.8385</cdr:y>
    </cdr:to>
    <cdr:sp>
      <cdr:nvSpPr>
        <cdr:cNvPr id="8" name="Text Box 10"/>
        <cdr:cNvSpPr txBox="1">
          <a:spLocks noChangeArrowheads="1"/>
        </cdr:cNvSpPr>
      </cdr:nvSpPr>
      <cdr:spPr>
        <a:xfrm>
          <a:off x="1447800" y="4229100"/>
          <a:ext cx="3076575" cy="552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45720" tIns="32004" rIns="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Pays riches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(Japon + Europe + Etats-Unis)</a:t>
          </a:r>
        </a:p>
      </cdr:txBody>
    </cdr:sp>
  </cdr:relSizeAnchor>
  <cdr:relSizeAnchor xmlns:cdr="http://schemas.openxmlformats.org/drawingml/2006/chartDrawing">
    <cdr:from>
      <cdr:x>0.132</cdr:x>
      <cdr:y>0.16225</cdr:y>
    </cdr:from>
    <cdr:to>
      <cdr:x>0.5475</cdr:x>
      <cdr:y>0.25575</cdr:y>
    </cdr:to>
    <cdr:sp>
      <cdr:nvSpPr>
        <cdr:cNvPr id="9" name="Text Box 5"/>
        <cdr:cNvSpPr txBox="1">
          <a:spLocks noChangeArrowheads="1"/>
        </cdr:cNvSpPr>
      </cdr:nvSpPr>
      <cdr:spPr>
        <a:xfrm>
          <a:off x="1219200" y="923925"/>
          <a:ext cx="3838575" cy="533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Actifs financiers non enregistrés détenus dans les paradis fiscaux (estimation minimale)</a:t>
          </a:r>
        </a:p>
      </cdr:txBody>
    </cdr:sp>
  </cdr:relSizeAnchor>
  <cdr:relSizeAnchor xmlns:cdr="http://schemas.openxmlformats.org/drawingml/2006/chartDrawing">
    <cdr:from>
      <cdr:x>0.5465</cdr:x>
      <cdr:y>0.1915</cdr:y>
    </cdr:from>
    <cdr:to>
      <cdr:x>0.70075</cdr:x>
      <cdr:y>0.219</cdr:y>
    </cdr:to>
    <cdr:sp>
      <cdr:nvSpPr>
        <cdr:cNvPr id="10" name="Line 8"/>
        <cdr:cNvSpPr>
          <a:spLocks/>
        </cdr:cNvSpPr>
      </cdr:nvSpPr>
      <cdr:spPr>
        <a:xfrm>
          <a:off x="5048250" y="1085850"/>
          <a:ext cx="14287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0.5075</cdr:x>
      <cdr:y>0.50125</cdr:y>
    </cdr:from>
    <cdr:to>
      <cdr:x>0.521</cdr:x>
      <cdr:y>0.53425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686300" y="2867025"/>
          <a:ext cx="1238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,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0.52625</cdr:x>
      <cdr:y>0.50125</cdr:y>
    </cdr:from>
    <cdr:to>
      <cdr:x>0.5395</cdr:x>
      <cdr:y>0.53425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857750" y="2867025"/>
          <a:ext cx="1238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,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0.44825</cdr:x>
      <cdr:y>0.26375</cdr:y>
    </cdr:from>
    <cdr:to>
      <cdr:x>0.55375</cdr:x>
      <cdr:y>0.35625</cdr:y>
    </cdr:to>
    <cdr:sp>
      <cdr:nvSpPr>
        <cdr:cNvPr id="1" name="AutoShape 1"/>
        <cdr:cNvSpPr>
          <a:spLocks/>
        </cdr:cNvSpPr>
      </cdr:nvSpPr>
      <cdr:spPr>
        <a:xfrm>
          <a:off x="4171950" y="1504950"/>
          <a:ext cx="981075" cy="533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Séries observées</a:t>
          </a:r>
        </a:p>
      </cdr:txBody>
    </cdr:sp>
  </cdr:relSizeAnchor>
  <cdr:relSizeAnchor xmlns:cdr="http://schemas.openxmlformats.org/drawingml/2006/chartDrawing">
    <cdr:from>
      <cdr:x>0.5485</cdr:x>
      <cdr:y>0.35625</cdr:y>
    </cdr:from>
    <cdr:to>
      <cdr:x>0.625</cdr:x>
      <cdr:y>0.46225</cdr:y>
    </cdr:to>
    <cdr:sp>
      <cdr:nvSpPr>
        <cdr:cNvPr id="2" name="AutoShape 2"/>
        <cdr:cNvSpPr>
          <a:spLocks/>
        </cdr:cNvSpPr>
      </cdr:nvSpPr>
      <cdr:spPr>
        <a:xfrm>
          <a:off x="5105400" y="2028825"/>
          <a:ext cx="714375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0.46475</cdr:x>
      <cdr:y>0.35625</cdr:y>
    </cdr:from>
    <cdr:to>
      <cdr:x>0.501</cdr:x>
      <cdr:y>0.6165</cdr:y>
    </cdr:to>
    <cdr:sp>
      <cdr:nvSpPr>
        <cdr:cNvPr id="3" name="AutoShape 3"/>
        <cdr:cNvSpPr>
          <a:spLocks/>
        </cdr:cNvSpPr>
      </cdr:nvSpPr>
      <cdr:spPr>
        <a:xfrm flipH="1">
          <a:off x="4324350" y="2028825"/>
          <a:ext cx="333375" cy="1485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0.65225</cdr:x>
      <cdr:y>0.131</cdr:y>
    </cdr:from>
    <cdr:to>
      <cdr:x>0.765</cdr:x>
      <cdr:y>0.25575</cdr:y>
    </cdr:to>
    <cdr:sp>
      <cdr:nvSpPr>
        <cdr:cNvPr id="4" name="AutoShape 4"/>
        <cdr:cNvSpPr>
          <a:spLocks/>
        </cdr:cNvSpPr>
      </cdr:nvSpPr>
      <cdr:spPr>
        <a:xfrm>
          <a:off x="6067425" y="742950"/>
          <a:ext cx="1047750" cy="7143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Prévisions (scénario central)</a:t>
          </a:r>
        </a:p>
      </cdr:txBody>
    </cdr:sp>
  </cdr:relSizeAnchor>
  <cdr:relSizeAnchor xmlns:cdr="http://schemas.openxmlformats.org/drawingml/2006/chartDrawing">
    <cdr:from>
      <cdr:x>0.6725</cdr:x>
      <cdr:y>0.25575</cdr:y>
    </cdr:from>
    <cdr:to>
      <cdr:x>0.68475</cdr:x>
      <cdr:y>0.42575</cdr:y>
    </cdr:to>
    <cdr:sp>
      <cdr:nvSpPr>
        <cdr:cNvPr id="5" name="AutoShape 5"/>
        <cdr:cNvSpPr>
          <a:spLocks/>
        </cdr:cNvSpPr>
      </cdr:nvSpPr>
      <cdr:spPr>
        <a:xfrm flipH="1">
          <a:off x="6257925" y="1457325"/>
          <a:ext cx="114300" cy="971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0.765</cdr:x>
      <cdr:y>0.19325</cdr:y>
    </cdr:from>
    <cdr:to>
      <cdr:x>0.837</cdr:x>
      <cdr:y>0.25575</cdr:y>
    </cdr:to>
    <cdr:sp>
      <cdr:nvSpPr>
        <cdr:cNvPr id="6" name="AutoShape 6"/>
        <cdr:cNvSpPr>
          <a:spLocks/>
        </cdr:cNvSpPr>
      </cdr:nvSpPr>
      <cdr:spPr>
        <a:xfrm>
          <a:off x="7124700" y="1095375"/>
          <a:ext cx="666750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0.75775</cdr:x>
      <cdr:y>0.48475</cdr:y>
    </cdr:from>
    <cdr:to>
      <cdr:x>0.84675</cdr:x>
      <cdr:y>0.53025</cdr:y>
    </cdr:to>
    <cdr:sp>
      <cdr:nvSpPr>
        <cdr:cNvPr id="1" name="Rectangle 1"/>
        <cdr:cNvSpPr>
          <a:spLocks/>
        </cdr:cNvSpPr>
      </cdr:nvSpPr>
      <cdr:spPr>
        <a:xfrm>
          <a:off x="6505575" y="2771775"/>
          <a:ext cx="7620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Asie</a:t>
          </a:r>
        </a:p>
      </cdr:txBody>
    </cdr:sp>
  </cdr:relSizeAnchor>
  <cdr:relSizeAnchor xmlns:cdr="http://schemas.openxmlformats.org/drawingml/2006/chartDrawing">
    <cdr:from>
      <cdr:x>0.7655</cdr:x>
      <cdr:y>0.784</cdr:y>
    </cdr:from>
    <cdr:to>
      <cdr:x>0.864</cdr:x>
      <cdr:y>0.83025</cdr:y>
    </cdr:to>
    <cdr:sp>
      <cdr:nvSpPr>
        <cdr:cNvPr id="2" name="Rectangle 2"/>
        <cdr:cNvSpPr>
          <a:spLocks/>
        </cdr:cNvSpPr>
      </cdr:nvSpPr>
      <cdr:spPr>
        <a:xfrm>
          <a:off x="6572250" y="4486275"/>
          <a:ext cx="8477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0.781</cdr:x>
      <cdr:y>0.71075</cdr:y>
    </cdr:from>
    <cdr:to>
      <cdr:x>0.89425</cdr:x>
      <cdr:y>0.76075</cdr:y>
    </cdr:to>
    <cdr:sp>
      <cdr:nvSpPr>
        <cdr:cNvPr id="3" name="Rectangle 3"/>
        <cdr:cNvSpPr>
          <a:spLocks/>
        </cdr:cNvSpPr>
      </cdr:nvSpPr>
      <cdr:spPr>
        <a:xfrm>
          <a:off x="6705600" y="4067175"/>
          <a:ext cx="9715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Amérique</a:t>
          </a:r>
        </a:p>
      </cdr:txBody>
    </cdr:sp>
  </cdr:relSizeAnchor>
  <cdr:relSizeAnchor xmlns:cdr="http://schemas.openxmlformats.org/drawingml/2006/chartDrawing">
    <cdr:from>
      <cdr:x>0.85975</cdr:x>
      <cdr:y>0.585</cdr:y>
    </cdr:from>
    <cdr:to>
      <cdr:x>0.96075</cdr:x>
      <cdr:y>0.62675</cdr:y>
    </cdr:to>
    <cdr:sp>
      <cdr:nvSpPr>
        <cdr:cNvPr id="4" name="Rectangle 4"/>
        <cdr:cNvSpPr>
          <a:spLocks/>
        </cdr:cNvSpPr>
      </cdr:nvSpPr>
      <cdr:spPr>
        <a:xfrm>
          <a:off x="7381875" y="3343275"/>
          <a:ext cx="8667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Afrique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EstateTaxData\VariousDMTGComputations\AggregateEstateTaxSer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DemoData\OldComputations190020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piketty\Successions2000s\PaperLongRunInheritance\PaperApril2010\AppendixEstateTaxData\VariousDMTGComputations\AggregateEstateTaxSeri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ata\PikettySaez2012(ComputationsUsingIRSTable%201_4_2010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//nowa.nuff.ox.ac.uk/senate%20poverty%20response\pov%20response\minimum%20wage.xls\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joint%20income%20dist\All%20couples%201970%20to%202004%20MFTTAWE%20comparis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manu\papers\estate\excelresults\intermediat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anu\papers\estate\excelresults\intermedia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.piketty\Dropbox\WorldWealth\Work\CapitalIsBack\Germa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BL14"/>
      <sheetName val="Table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80.71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 Ahelp"/>
      <sheetName val="Amounts and thresholds"/>
      <sheetName val="Age, Gender, Marital"/>
      <sheetName val="Number,multipliers,age etc."/>
      <sheetName val="Net worth with life insurance"/>
      <sheetName val="ANW --- help"/>
      <sheetName val="Composition-help"/>
      <sheetName val="Composition"/>
      <sheetName val="Weights"/>
      <sheetName val="Weights-help"/>
      <sheetName val="Life "/>
      <sheetName val="Life-help"/>
      <sheetName val="Aggregate data"/>
      <sheetName val="ANW-male"/>
      <sheetName val="ANW- female"/>
      <sheetName val="Debt,LI,charity"/>
      <sheetName val="Debt,LI,charity-male"/>
      <sheetName val="Debt,LI,charity-female"/>
      <sheetName val="Number-male"/>
      <sheetName val="Number-female"/>
      <sheetName val="Marital-male"/>
      <sheetName val="Marital"/>
      <sheetName val="Marital-female"/>
      <sheetName val="Details-male"/>
      <sheetName val="Details-female"/>
      <sheetName val="Net worth WJP"/>
      <sheetName val="WJP-male"/>
      <sheetName val="WJP-female"/>
      <sheetName val="templat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 Ahelp"/>
      <sheetName val="Amounts and thresholds"/>
      <sheetName val="Age, Gender, Marital"/>
      <sheetName val="Number,multipliers,age etc."/>
      <sheetName val="Net worth with life insurance"/>
      <sheetName val="ANW --- help"/>
      <sheetName val="Composition-help"/>
      <sheetName val="Composition"/>
      <sheetName val="Weights"/>
      <sheetName val="Weights-help"/>
      <sheetName val="Life "/>
      <sheetName val="Life-help"/>
      <sheetName val="Aggregate data"/>
      <sheetName val="ANW-male"/>
      <sheetName val="ANW- female"/>
      <sheetName val="Debt,LI,charity"/>
      <sheetName val="Debt,LI,charity-male"/>
      <sheetName val="Debt,LI,charity-female"/>
      <sheetName val="Number-male"/>
      <sheetName val="Number-female"/>
      <sheetName val="Marital-male"/>
      <sheetName val="Marital"/>
      <sheetName val="Marital-female"/>
      <sheetName val="Details-male"/>
      <sheetName val="Details-female"/>
      <sheetName val="Net worth WJP"/>
      <sheetName val="WJP-male"/>
      <sheetName val="WJP-female"/>
      <sheetName val="templat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4a"/>
      <sheetName val="TableDE15a"/>
      <sheetName val="G-Beta (2)"/>
      <sheetName val="G-Beta (5)"/>
      <sheetName val="G-Beta (6)"/>
      <sheetName val="G-Beta (7)"/>
      <sheetName val="G-Beta (8)"/>
      <sheetName val="G-Beta (9)"/>
      <sheetName val="G-Beta (10)"/>
      <sheetName val="G-Beta (11)"/>
      <sheetName val="DataDE1"/>
      <sheetName val="DateDE1b"/>
      <sheetName val="DataDE1c"/>
      <sheetName val="DataDE2"/>
      <sheetName val="DataDE2b"/>
      <sheetName val="Index"/>
    </sheetNames>
    <sheetDataSet>
      <sheetData sheetId="9">
        <row r="3">
          <cell r="A3" t="str">
            <v>Table DE.4b: Sources of private wealth accumulation in Germany, 1870-2010 - Multiplicative decomposition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:B19"/>
    </sheetView>
  </sheetViews>
  <sheetFormatPr defaultColWidth="11.375" defaultRowHeight="15.75"/>
  <cols>
    <col min="1" max="1" width="35.75390625" style="1" customWidth="1"/>
    <col min="2" max="2" width="30.75390625" style="1" customWidth="1"/>
    <col min="3" max="16384" width="11.375" style="1" customWidth="1"/>
  </cols>
  <sheetData>
    <row r="1" ht="15">
      <c r="A1"/>
    </row>
    <row r="2" ht="13.5" thickBot="1"/>
    <row r="3" spans="1:2" ht="49.5" customHeight="1" thickTop="1">
      <c r="A3" s="144" t="s">
        <v>77</v>
      </c>
      <c r="B3" s="145"/>
    </row>
    <row r="4" spans="1:2" ht="23.25" thickBot="1">
      <c r="A4" s="68"/>
      <c r="B4" s="69"/>
    </row>
    <row r="5" spans="1:2" ht="69.75" customHeight="1">
      <c r="A5" s="146" t="s">
        <v>82</v>
      </c>
      <c r="B5" s="148" t="s">
        <v>78</v>
      </c>
    </row>
    <row r="6" spans="1:2" ht="30" customHeight="1" thickBot="1">
      <c r="A6" s="147"/>
      <c r="B6" s="149"/>
    </row>
    <row r="7" spans="1:2" ht="69.75" customHeight="1" thickBot="1">
      <c r="A7" s="59" t="s">
        <v>101</v>
      </c>
      <c r="B7" s="33">
        <f>'TS12.3'!Z37</f>
        <v>0.0677143051369018</v>
      </c>
    </row>
    <row r="8" spans="1:2" ht="69.75" customHeight="1" thickBot="1">
      <c r="A8" s="59" t="s">
        <v>102</v>
      </c>
      <c r="B8" s="33">
        <f>'TS12.3'!U37</f>
        <v>0.06418870529562715</v>
      </c>
    </row>
    <row r="9" spans="1:2" ht="49.5" customHeight="1" thickBot="1">
      <c r="A9" s="59" t="s">
        <v>96</v>
      </c>
      <c r="B9" s="33">
        <f>0.001+'TS12.3'!AP37</f>
        <v>0.021144717283565595</v>
      </c>
    </row>
    <row r="10" spans="1:2" ht="49.5" customHeight="1" thickBot="1">
      <c r="A10" s="59" t="s">
        <v>97</v>
      </c>
      <c r="B10" s="33">
        <f>0.0004+'TS12.3'!AO37</f>
        <v>0.013781736362194862</v>
      </c>
    </row>
    <row r="11" spans="1:2" s="5" customFormat="1" ht="49.5" customHeight="1" thickBot="1">
      <c r="A11" s="59" t="s">
        <v>98</v>
      </c>
      <c r="B11" s="33">
        <f>'TS12.3'!R36</f>
        <v>0.019214608681880296</v>
      </c>
    </row>
    <row r="12" spans="1:2" ht="49.5" customHeight="1" thickBot="1">
      <c r="A12" s="61" t="s">
        <v>79</v>
      </c>
      <c r="B12" s="34">
        <f>'TS12.3'!AD37</f>
        <v>0.032853469871758856</v>
      </c>
    </row>
    <row r="13" spans="1:2" ht="18" thickBot="1" thickTop="1">
      <c r="A13" s="35"/>
      <c r="B13" s="36"/>
    </row>
    <row r="14" spans="1:2" ht="12.75" customHeight="1" thickTop="1">
      <c r="A14" s="138" t="s">
        <v>122</v>
      </c>
      <c r="B14" s="139"/>
    </row>
    <row r="15" spans="1:2" ht="12.75" customHeight="1">
      <c r="A15" s="140"/>
      <c r="B15" s="141"/>
    </row>
    <row r="16" spans="1:2" ht="12.75" customHeight="1">
      <c r="A16" s="140"/>
      <c r="B16" s="141"/>
    </row>
    <row r="17" spans="1:2" ht="12.75" customHeight="1">
      <c r="A17" s="140"/>
      <c r="B17" s="141"/>
    </row>
    <row r="18" spans="1:2" ht="12" customHeight="1">
      <c r="A18" s="140"/>
      <c r="B18" s="141"/>
    </row>
    <row r="19" spans="1:2" ht="12.75" customHeight="1" thickBot="1">
      <c r="A19" s="142"/>
      <c r="B19" s="143"/>
    </row>
    <row r="20" spans="1:2" ht="13.5" thickTop="1">
      <c r="A20" s="6"/>
      <c r="B20" s="7"/>
    </row>
    <row r="21" spans="1:2" ht="12.75">
      <c r="A21" s="31"/>
      <c r="B21" s="7"/>
    </row>
    <row r="22" spans="1:2" ht="12.75">
      <c r="A22" s="6"/>
      <c r="B22" s="7"/>
    </row>
    <row r="23" spans="1:2" ht="12.75">
      <c r="A23" s="6"/>
      <c r="B23" s="7"/>
    </row>
    <row r="24" spans="1:2" ht="12.75">
      <c r="A24" s="6"/>
      <c r="B24" s="7"/>
    </row>
    <row r="25" spans="1:2" ht="12.75">
      <c r="A25" s="6"/>
      <c r="B25" s="7"/>
    </row>
    <row r="26" spans="1:2" ht="12.75">
      <c r="A26" s="6"/>
      <c r="B26" s="7"/>
    </row>
    <row r="27" spans="1:2" ht="12.75">
      <c r="A27" s="6"/>
      <c r="B27" s="7"/>
    </row>
    <row r="28" spans="1:2" ht="12.75">
      <c r="A28" s="6"/>
      <c r="B28" s="7"/>
    </row>
    <row r="29" spans="1:2" ht="12.75">
      <c r="A29" s="6"/>
      <c r="B29" s="7"/>
    </row>
    <row r="30" spans="1:2" ht="12.75">
      <c r="A30" s="6"/>
      <c r="B30" s="7"/>
    </row>
    <row r="31" spans="1:2" ht="12.75">
      <c r="A31" s="6"/>
      <c r="B31" s="7"/>
    </row>
    <row r="32" spans="1:2" ht="12.75">
      <c r="A32" s="6"/>
      <c r="B32" s="7"/>
    </row>
    <row r="33" spans="1:2" ht="12.75">
      <c r="A33" s="6"/>
      <c r="B33" s="7"/>
    </row>
    <row r="34" spans="1:2" ht="12.75">
      <c r="A34" s="6"/>
      <c r="B34" s="7"/>
    </row>
    <row r="35" spans="1:2" ht="12.75">
      <c r="A35" s="6"/>
      <c r="B35" s="7"/>
    </row>
    <row r="36" spans="1:2" ht="12.75">
      <c r="A36" s="6"/>
      <c r="B36" s="7"/>
    </row>
    <row r="37" spans="1:2" ht="12.75">
      <c r="A37" s="6"/>
      <c r="B37" s="7"/>
    </row>
    <row r="38" spans="1:2" ht="12.75">
      <c r="A38" s="6"/>
      <c r="B38" s="7"/>
    </row>
    <row r="39" spans="1:2" ht="12.75">
      <c r="A39" s="6"/>
      <c r="B39" s="7"/>
    </row>
    <row r="40" spans="1:2" ht="12.75">
      <c r="A40" s="6"/>
      <c r="B40" s="7"/>
    </row>
    <row r="41" spans="1:2" ht="12.75">
      <c r="A41" s="6"/>
      <c r="B41" s="7"/>
    </row>
    <row r="42" spans="1:2" ht="12.75">
      <c r="A42" s="6"/>
      <c r="B42" s="7"/>
    </row>
    <row r="43" spans="1:2" ht="12.75">
      <c r="A43" s="6"/>
      <c r="B43" s="7"/>
    </row>
    <row r="44" spans="1:2" ht="12.75">
      <c r="A44" s="6"/>
      <c r="B44" s="7"/>
    </row>
    <row r="45" spans="1:2" ht="12.75">
      <c r="A45" s="6"/>
      <c r="B45" s="7"/>
    </row>
    <row r="46" ht="12.75">
      <c r="B46" s="8"/>
    </row>
    <row r="47" ht="12.75">
      <c r="B47" s="8"/>
    </row>
    <row r="48" ht="12.75">
      <c r="B48" s="8"/>
    </row>
    <row r="49" ht="12.75">
      <c r="B49" s="8"/>
    </row>
    <row r="50" ht="12.75">
      <c r="B50" s="8"/>
    </row>
    <row r="51" ht="12.75">
      <c r="B51" s="8"/>
    </row>
    <row r="52" ht="12.75">
      <c r="B52" s="8"/>
    </row>
    <row r="53" ht="12.75">
      <c r="B53" s="8"/>
    </row>
    <row r="54" ht="12.75">
      <c r="B54" s="8"/>
    </row>
    <row r="55" ht="12.75">
      <c r="B55" s="8"/>
    </row>
    <row r="56" ht="12.75">
      <c r="B56" s="8"/>
    </row>
    <row r="57" ht="12.75">
      <c r="B57" s="8"/>
    </row>
    <row r="58" ht="12.75">
      <c r="B58" s="8"/>
    </row>
    <row r="59" ht="12.75">
      <c r="B59" s="8"/>
    </row>
    <row r="60" ht="12.75">
      <c r="B60" s="8"/>
    </row>
    <row r="61" ht="12.75">
      <c r="B61" s="8"/>
    </row>
    <row r="62" ht="12.75">
      <c r="B62" s="8"/>
    </row>
    <row r="63" ht="12.75">
      <c r="B63" s="8"/>
    </row>
    <row r="64" ht="12.75">
      <c r="B64" s="8"/>
    </row>
    <row r="65" ht="12.75">
      <c r="B65" s="8"/>
    </row>
    <row r="66" ht="12.75">
      <c r="B66" s="8"/>
    </row>
    <row r="67" ht="12.75">
      <c r="B67" s="8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</sheetData>
  <sheetProtection/>
  <mergeCells count="4">
    <mergeCell ref="A14:B19"/>
    <mergeCell ref="A3:B3"/>
    <mergeCell ref="A5:A6"/>
    <mergeCell ref="B5:B6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5"/>
  <sheetViews>
    <sheetView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4" sqref="A14:B19"/>
    </sheetView>
  </sheetViews>
  <sheetFormatPr defaultColWidth="11.375" defaultRowHeight="15.75"/>
  <cols>
    <col min="1" max="1" width="35.75390625" style="1" customWidth="1"/>
    <col min="2" max="2" width="30.75390625" style="1" customWidth="1"/>
    <col min="3" max="16384" width="11.375" style="1" customWidth="1"/>
  </cols>
  <sheetData>
    <row r="1" ht="15">
      <c r="A1"/>
    </row>
    <row r="2" ht="13.5" thickBot="1"/>
    <row r="3" spans="1:2" ht="49.5" customHeight="1" thickTop="1">
      <c r="A3" s="144" t="s">
        <v>67</v>
      </c>
      <c r="B3" s="145"/>
    </row>
    <row r="4" spans="1:2" ht="23.25" thickBot="1">
      <c r="A4" s="68"/>
      <c r="B4" s="69"/>
    </row>
    <row r="5" spans="1:2" ht="69.75" customHeight="1">
      <c r="A5" s="146" t="s">
        <v>76</v>
      </c>
      <c r="B5" s="148" t="s">
        <v>68</v>
      </c>
    </row>
    <row r="6" spans="1:2" ht="30" customHeight="1" thickBot="1">
      <c r="A6" s="150"/>
      <c r="B6" s="149"/>
    </row>
    <row r="7" spans="1:2" ht="69.75" customHeight="1" thickBot="1">
      <c r="A7" s="59" t="s">
        <v>75</v>
      </c>
      <c r="B7" s="33">
        <f>'DetailsTS12.2'!E10</f>
        <v>0.08190811287957933</v>
      </c>
    </row>
    <row r="8" spans="1:2" ht="49.5" customHeight="1" thickBot="1">
      <c r="A8" s="32" t="s">
        <v>70</v>
      </c>
      <c r="B8" s="33">
        <f>AVERAGE('DetailsTS12.2'!E31:E33)</f>
        <v>0.10219467057511518</v>
      </c>
    </row>
    <row r="9" spans="1:2" ht="49.5" customHeight="1" thickBot="1">
      <c r="A9" s="59" t="s">
        <v>71</v>
      </c>
      <c r="B9" s="33">
        <f>'DetailsTS12.2'!E20</f>
        <v>0.08837516713330218</v>
      </c>
    </row>
    <row r="10" spans="1:2" ht="49.5" customHeight="1" thickBot="1">
      <c r="A10" s="59" t="s">
        <v>72</v>
      </c>
      <c r="B10" s="33">
        <f>'DetailsTS12.2'!E21</f>
        <v>0.07756035931130079</v>
      </c>
    </row>
    <row r="11" spans="1:2" s="5" customFormat="1" ht="49.5" customHeight="1" thickBot="1">
      <c r="A11" s="59" t="s">
        <v>73</v>
      </c>
      <c r="B11" s="33">
        <f>'DetailsTS12.2'!E22</f>
        <v>0.0705712928342459</v>
      </c>
    </row>
    <row r="12" spans="1:2" ht="49.5" customHeight="1" thickBot="1">
      <c r="A12" s="61" t="s">
        <v>74</v>
      </c>
      <c r="B12" s="34">
        <f>'DetailsTS12.2'!E23</f>
        <v>0.0616533769753318</v>
      </c>
    </row>
    <row r="13" spans="1:2" ht="18" thickBot="1" thickTop="1">
      <c r="A13" s="35"/>
      <c r="B13" s="36"/>
    </row>
    <row r="14" spans="1:2" ht="12.75" customHeight="1" thickTop="1">
      <c r="A14" s="138" t="s">
        <v>121</v>
      </c>
      <c r="B14" s="139"/>
    </row>
    <row r="15" spans="1:2" ht="12.75" customHeight="1">
      <c r="A15" s="140"/>
      <c r="B15" s="141"/>
    </row>
    <row r="16" spans="1:2" ht="12.75" customHeight="1">
      <c r="A16" s="140"/>
      <c r="B16" s="141"/>
    </row>
    <row r="17" spans="1:2" ht="12.75" customHeight="1">
      <c r="A17" s="140"/>
      <c r="B17" s="141"/>
    </row>
    <row r="18" spans="1:2" ht="12" customHeight="1">
      <c r="A18" s="140"/>
      <c r="B18" s="141"/>
    </row>
    <row r="19" spans="1:2" ht="12.75" customHeight="1" thickBot="1">
      <c r="A19" s="142"/>
      <c r="B19" s="143"/>
    </row>
    <row r="20" spans="1:2" ht="13.5" thickTop="1">
      <c r="A20" s="6"/>
      <c r="B20" s="7"/>
    </row>
    <row r="21" spans="1:2" ht="12.75">
      <c r="A21" s="31"/>
      <c r="B21" s="7"/>
    </row>
    <row r="22" spans="1:2" ht="12.75">
      <c r="A22" s="6"/>
      <c r="B22" s="7"/>
    </row>
    <row r="23" spans="1:2" ht="12.75">
      <c r="A23" s="6"/>
      <c r="B23" s="7"/>
    </row>
    <row r="24" spans="1:2" ht="12.75">
      <c r="A24" s="6"/>
      <c r="B24" s="7"/>
    </row>
    <row r="25" spans="1:2" ht="12.75">
      <c r="A25" s="6"/>
      <c r="B25" s="7"/>
    </row>
    <row r="26" spans="1:2" ht="12.75">
      <c r="A26" s="6"/>
      <c r="B26" s="7"/>
    </row>
    <row r="27" spans="1:2" ht="12.75">
      <c r="A27" s="6"/>
      <c r="B27" s="7"/>
    </row>
    <row r="28" spans="1:2" ht="12.75">
      <c r="A28" s="6"/>
      <c r="B28" s="7"/>
    </row>
    <row r="29" spans="1:2" ht="12.75">
      <c r="A29" s="6"/>
      <c r="B29" s="7"/>
    </row>
    <row r="30" spans="1:2" ht="12.75">
      <c r="A30" s="6"/>
      <c r="B30" s="7"/>
    </row>
    <row r="31" spans="1:2" ht="12.75">
      <c r="A31" s="6"/>
      <c r="B31" s="7"/>
    </row>
    <row r="32" spans="1:2" ht="12.75">
      <c r="A32" s="6"/>
      <c r="B32" s="7"/>
    </row>
    <row r="33" spans="1:2" ht="12.75">
      <c r="A33" s="6"/>
      <c r="B33" s="7"/>
    </row>
    <row r="34" spans="1:2" ht="12.75">
      <c r="A34" s="6"/>
      <c r="B34" s="7"/>
    </row>
    <row r="35" spans="1:2" ht="12.75">
      <c r="A35" s="6"/>
      <c r="B35" s="7"/>
    </row>
    <row r="36" spans="1:2" ht="12.75">
      <c r="A36" s="6"/>
      <c r="B36" s="7"/>
    </row>
    <row r="37" spans="1:2" ht="12.75">
      <c r="A37" s="6"/>
      <c r="B37" s="7"/>
    </row>
    <row r="38" spans="1:2" ht="12.75">
      <c r="A38" s="6"/>
      <c r="B38" s="7"/>
    </row>
    <row r="39" spans="1:2" ht="12.75">
      <c r="A39" s="6"/>
      <c r="B39" s="7"/>
    </row>
    <row r="40" spans="1:2" ht="12.75">
      <c r="A40" s="6"/>
      <c r="B40" s="7"/>
    </row>
    <row r="41" spans="1:2" ht="12.75">
      <c r="A41" s="6"/>
      <c r="B41" s="7"/>
    </row>
    <row r="42" spans="1:2" ht="12.75">
      <c r="A42" s="6"/>
      <c r="B42" s="7"/>
    </row>
    <row r="43" spans="1:2" ht="12.75">
      <c r="A43" s="6"/>
      <c r="B43" s="7"/>
    </row>
    <row r="44" spans="1:2" ht="12.75">
      <c r="A44" s="6"/>
      <c r="B44" s="7"/>
    </row>
    <row r="45" spans="1:2" ht="12.75">
      <c r="A45" s="6"/>
      <c r="B45" s="7"/>
    </row>
    <row r="46" ht="12.75">
      <c r="B46" s="8"/>
    </row>
    <row r="47" ht="12.75">
      <c r="B47" s="8"/>
    </row>
    <row r="48" ht="12.75">
      <c r="B48" s="8"/>
    </row>
    <row r="49" ht="12.75">
      <c r="B49" s="8"/>
    </row>
    <row r="50" ht="12.75">
      <c r="B50" s="8"/>
    </row>
    <row r="51" ht="12.75">
      <c r="B51" s="8"/>
    </row>
    <row r="52" ht="12.75">
      <c r="B52" s="8"/>
    </row>
    <row r="53" ht="12.75">
      <c r="B53" s="8"/>
    </row>
    <row r="54" ht="12.75">
      <c r="B54" s="8"/>
    </row>
    <row r="55" ht="12.75">
      <c r="B55" s="8"/>
    </row>
    <row r="56" ht="12.75">
      <c r="B56" s="8"/>
    </row>
    <row r="57" ht="12.75">
      <c r="B57" s="8"/>
    </row>
    <row r="58" ht="12.75">
      <c r="B58" s="8"/>
    </row>
    <row r="59" ht="12.75">
      <c r="B59" s="8"/>
    </row>
    <row r="60" ht="12.75">
      <c r="B60" s="8"/>
    </row>
    <row r="61" ht="12.75">
      <c r="B61" s="8"/>
    </row>
    <row r="62" ht="12.75">
      <c r="B62" s="8"/>
    </row>
    <row r="63" ht="12.75">
      <c r="B63" s="8"/>
    </row>
    <row r="64" ht="12.75">
      <c r="B64" s="8"/>
    </row>
    <row r="65" ht="12.75">
      <c r="B65" s="8"/>
    </row>
    <row r="66" ht="12.75">
      <c r="B66" s="8"/>
    </row>
    <row r="67" ht="12.75">
      <c r="B67" s="8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</sheetData>
  <sheetProtection/>
  <mergeCells count="4">
    <mergeCell ref="A14:B19"/>
    <mergeCell ref="A3:B3"/>
    <mergeCell ref="A5:A6"/>
    <mergeCell ref="B5:B6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:C3"/>
    </sheetView>
  </sheetViews>
  <sheetFormatPr defaultColWidth="11.375" defaultRowHeight="15.75"/>
  <cols>
    <col min="1" max="1" width="35.75390625" style="1" customWidth="1"/>
    <col min="2" max="3" width="25.75390625" style="1" customWidth="1"/>
    <col min="4" max="16384" width="11.375" style="1" customWidth="1"/>
  </cols>
  <sheetData>
    <row r="1" ht="15">
      <c r="A1"/>
    </row>
    <row r="2" ht="13.5" thickBot="1"/>
    <row r="3" spans="1:3" ht="49.5" customHeight="1" thickTop="1">
      <c r="A3" s="144" t="s">
        <v>120</v>
      </c>
      <c r="B3" s="154"/>
      <c r="C3" s="145"/>
    </row>
    <row r="4" spans="1:3" ht="23.25" thickBot="1">
      <c r="A4" s="2"/>
      <c r="B4" s="3"/>
      <c r="C4" s="4"/>
    </row>
    <row r="5" spans="1:3" ht="69.75" customHeight="1">
      <c r="A5" s="146" t="s">
        <v>82</v>
      </c>
      <c r="B5" s="148" t="s">
        <v>78</v>
      </c>
      <c r="C5" s="155" t="s">
        <v>69</v>
      </c>
    </row>
    <row r="6" spans="1:3" ht="30" customHeight="1" thickBot="1">
      <c r="A6" s="147"/>
      <c r="B6" s="149"/>
      <c r="C6" s="156"/>
    </row>
    <row r="7" spans="1:3" ht="69.75" customHeight="1" thickBot="1">
      <c r="A7" s="59" t="s">
        <v>101</v>
      </c>
      <c r="B7" s="33">
        <f>'TS12.3'!Z37</f>
        <v>0.0677143051369018</v>
      </c>
      <c r="C7" s="60">
        <f>'TS12.3'!Z40</f>
        <v>0.04096169360407442</v>
      </c>
    </row>
    <row r="8" spans="1:3" ht="69.75" customHeight="1" thickBot="1">
      <c r="A8" s="59" t="s">
        <v>102</v>
      </c>
      <c r="B8" s="33">
        <f>'TS12.3'!U37</f>
        <v>0.06418870529562715</v>
      </c>
      <c r="C8" s="60">
        <f>'TS12.3'!U40</f>
        <v>0.03785460139918184</v>
      </c>
    </row>
    <row r="9" spans="1:3" ht="49.5" customHeight="1" thickBot="1">
      <c r="A9" s="59" t="s">
        <v>96</v>
      </c>
      <c r="B9" s="33">
        <f>0.001+'TS12.3'!AP37</f>
        <v>0.021144717283565595</v>
      </c>
      <c r="C9" s="60">
        <f>'TS12.3'!AP40</f>
        <v>0.02042562281867899</v>
      </c>
    </row>
    <row r="10" spans="1:3" ht="49.5" customHeight="1" thickBot="1">
      <c r="A10" s="59" t="s">
        <v>97</v>
      </c>
      <c r="B10" s="33">
        <f>0.0004+'TS12.3'!AO37</f>
        <v>0.013781736362194862</v>
      </c>
      <c r="C10" s="60">
        <f>'TS12.3'!AO40</f>
        <v>0.014745987572277741</v>
      </c>
    </row>
    <row r="11" spans="1:3" s="5" customFormat="1" ht="49.5" customHeight="1" thickBot="1">
      <c r="A11" s="59" t="s">
        <v>98</v>
      </c>
      <c r="B11" s="33">
        <f>'TS12.3'!R36</f>
        <v>0.019214608681880296</v>
      </c>
      <c r="C11" s="60">
        <f>'TS12.3'!R39</f>
        <v>0.018990160284631408</v>
      </c>
    </row>
    <row r="12" spans="1:3" ht="49.5" customHeight="1" thickBot="1">
      <c r="A12" s="61" t="s">
        <v>79</v>
      </c>
      <c r="B12" s="34">
        <f>'TS12.3'!AD37</f>
        <v>0.032853469871758856</v>
      </c>
      <c r="C12" s="62">
        <f>'TS12.3'!AD40</f>
        <v>0.03401617652446198</v>
      </c>
    </row>
    <row r="13" spans="1:3" ht="18" thickBot="1" thickTop="1">
      <c r="A13" s="35"/>
      <c r="B13" s="36"/>
      <c r="C13" s="36"/>
    </row>
    <row r="14" spans="1:3" ht="12.75" customHeight="1" thickTop="1">
      <c r="A14" s="138" t="s">
        <v>123</v>
      </c>
      <c r="B14" s="151"/>
      <c r="C14" s="139"/>
    </row>
    <row r="15" spans="1:3" ht="12.75" customHeight="1">
      <c r="A15" s="140"/>
      <c r="B15" s="152"/>
      <c r="C15" s="141"/>
    </row>
    <row r="16" spans="1:3" ht="12.75" customHeight="1">
      <c r="A16" s="140"/>
      <c r="B16" s="152"/>
      <c r="C16" s="141"/>
    </row>
    <row r="17" spans="1:3" ht="12.75" customHeight="1">
      <c r="A17" s="140"/>
      <c r="B17" s="152"/>
      <c r="C17" s="141"/>
    </row>
    <row r="18" spans="1:3" ht="12" customHeight="1">
      <c r="A18" s="140"/>
      <c r="B18" s="152"/>
      <c r="C18" s="141"/>
    </row>
    <row r="19" spans="1:3" ht="12.75" customHeight="1" thickBot="1">
      <c r="A19" s="142"/>
      <c r="B19" s="153"/>
      <c r="C19" s="143"/>
    </row>
    <row r="20" spans="1:3" ht="13.5" thickTop="1">
      <c r="A20" s="6"/>
      <c r="B20" s="7"/>
      <c r="C20" s="7"/>
    </row>
    <row r="21" spans="1:3" ht="12.75">
      <c r="A21" s="31"/>
      <c r="B21" s="7"/>
      <c r="C21" s="7"/>
    </row>
    <row r="22" spans="1:3" ht="12.75">
      <c r="A22" s="6"/>
      <c r="B22" s="7"/>
      <c r="C22" s="7"/>
    </row>
    <row r="23" spans="1:3" ht="12.75">
      <c r="A23" s="6"/>
      <c r="B23" s="7"/>
      <c r="C23" s="7"/>
    </row>
    <row r="24" spans="1:3" ht="12.75">
      <c r="A24" s="6"/>
      <c r="B24" s="7"/>
      <c r="C24" s="7"/>
    </row>
    <row r="25" spans="1:3" ht="12.75">
      <c r="A25" s="6"/>
      <c r="B25" s="7"/>
      <c r="C25" s="7"/>
    </row>
    <row r="26" spans="1:3" ht="12.75">
      <c r="A26" s="6"/>
      <c r="B26" s="7"/>
      <c r="C26" s="7"/>
    </row>
    <row r="27" spans="1:3" ht="12.75">
      <c r="A27" s="6"/>
      <c r="B27" s="7"/>
      <c r="C27" s="7"/>
    </row>
    <row r="28" spans="1:3" ht="12.75">
      <c r="A28" s="6"/>
      <c r="B28" s="7"/>
      <c r="C28" s="7"/>
    </row>
    <row r="29" spans="1:3" ht="12.75">
      <c r="A29" s="6"/>
      <c r="B29" s="7"/>
      <c r="C29" s="7"/>
    </row>
    <row r="30" spans="1:3" ht="12.75">
      <c r="A30" s="6"/>
      <c r="B30" s="7"/>
      <c r="C30" s="7"/>
    </row>
    <row r="31" spans="1:3" ht="12.75">
      <c r="A31" s="6"/>
      <c r="B31" s="7"/>
      <c r="C31" s="7"/>
    </row>
    <row r="32" spans="1:3" ht="12.75">
      <c r="A32" s="6"/>
      <c r="B32" s="7"/>
      <c r="C32" s="7"/>
    </row>
    <row r="33" spans="1:3" ht="12.75">
      <c r="A33" s="6"/>
      <c r="B33" s="7"/>
      <c r="C33" s="7"/>
    </row>
    <row r="34" spans="1:3" ht="12.75">
      <c r="A34" s="6"/>
      <c r="B34" s="7"/>
      <c r="C34" s="7"/>
    </row>
    <row r="35" spans="1:3" ht="12.75">
      <c r="A35" s="6"/>
      <c r="B35" s="7"/>
      <c r="C35" s="7"/>
    </row>
    <row r="36" spans="1:3" ht="12.75">
      <c r="A36" s="6"/>
      <c r="B36" s="7"/>
      <c r="C36" s="7"/>
    </row>
    <row r="37" spans="1:3" ht="12.75">
      <c r="A37" s="6"/>
      <c r="B37" s="7"/>
      <c r="C37" s="7"/>
    </row>
    <row r="38" spans="1:3" ht="12.75">
      <c r="A38" s="6"/>
      <c r="B38" s="7"/>
      <c r="C38" s="7"/>
    </row>
    <row r="39" spans="1:3" ht="12.75">
      <c r="A39" s="6"/>
      <c r="B39" s="7"/>
      <c r="C39" s="7"/>
    </row>
    <row r="40" spans="1:3" ht="12.75">
      <c r="A40" s="6"/>
      <c r="B40" s="7"/>
      <c r="C40" s="7"/>
    </row>
    <row r="41" spans="1:3" ht="12.75">
      <c r="A41" s="6"/>
      <c r="B41" s="7"/>
      <c r="C41" s="7"/>
    </row>
    <row r="42" spans="1:3" ht="12.75">
      <c r="A42" s="6"/>
      <c r="B42" s="7"/>
      <c r="C42" s="7"/>
    </row>
    <row r="43" spans="1:3" ht="12.75">
      <c r="A43" s="6"/>
      <c r="B43" s="7"/>
      <c r="C43" s="7"/>
    </row>
    <row r="44" spans="1:3" ht="12.75">
      <c r="A44" s="6"/>
      <c r="B44" s="7"/>
      <c r="C44" s="7"/>
    </row>
    <row r="45" spans="1:3" ht="12.75">
      <c r="A45" s="6"/>
      <c r="B45" s="7"/>
      <c r="C45" s="7"/>
    </row>
    <row r="46" spans="2:3" ht="12.75">
      <c r="B46" s="8"/>
      <c r="C46" s="8"/>
    </row>
    <row r="47" spans="2:3" ht="12.75">
      <c r="B47" s="8"/>
      <c r="C47" s="8"/>
    </row>
    <row r="48" spans="2:3" ht="12.75">
      <c r="B48" s="8"/>
      <c r="C48" s="8"/>
    </row>
    <row r="49" spans="2:3" ht="12.75">
      <c r="B49" s="8"/>
      <c r="C49" s="8"/>
    </row>
    <row r="50" spans="2:3" ht="12.75">
      <c r="B50" s="8"/>
      <c r="C50" s="8"/>
    </row>
    <row r="51" spans="2:3" ht="12.75">
      <c r="B51" s="8"/>
      <c r="C51" s="8"/>
    </row>
    <row r="52" spans="2:3" ht="12.75">
      <c r="B52" s="8"/>
      <c r="C52" s="8"/>
    </row>
    <row r="53" spans="2:3" ht="12.75">
      <c r="B53" s="8"/>
      <c r="C53" s="8"/>
    </row>
    <row r="54" spans="2:3" ht="12.75">
      <c r="B54" s="8"/>
      <c r="C54" s="8"/>
    </row>
    <row r="55" spans="2:3" ht="12.75">
      <c r="B55" s="8"/>
      <c r="C55" s="8"/>
    </row>
    <row r="56" spans="2:3" ht="12.75">
      <c r="B56" s="8"/>
      <c r="C56" s="8"/>
    </row>
    <row r="57" spans="2:3" ht="12.75">
      <c r="B57" s="8"/>
      <c r="C57" s="8"/>
    </row>
    <row r="58" spans="2:3" ht="12.75">
      <c r="B58" s="8"/>
      <c r="C58" s="8"/>
    </row>
    <row r="59" spans="2:3" ht="12.75">
      <c r="B59" s="8"/>
      <c r="C59" s="8"/>
    </row>
    <row r="60" spans="2:3" ht="12.75">
      <c r="B60" s="8"/>
      <c r="C60" s="8"/>
    </row>
    <row r="61" spans="2:3" ht="12.75">
      <c r="B61" s="8"/>
      <c r="C61" s="8"/>
    </row>
    <row r="62" spans="2:3" ht="12.75">
      <c r="B62" s="8"/>
      <c r="C62" s="8"/>
    </row>
    <row r="63" spans="2:3" ht="12.75">
      <c r="B63" s="8"/>
      <c r="C63" s="8"/>
    </row>
    <row r="64" spans="2:3" ht="12.75">
      <c r="B64" s="8"/>
      <c r="C64" s="8"/>
    </row>
    <row r="65" spans="2:3" ht="12.75">
      <c r="B65" s="8"/>
      <c r="C65" s="8"/>
    </row>
    <row r="66" spans="2:3" ht="12.75">
      <c r="B66" s="8"/>
      <c r="C66" s="8"/>
    </row>
    <row r="67" spans="2:3" ht="12.75">
      <c r="B67" s="8"/>
      <c r="C67" s="8"/>
    </row>
    <row r="68" spans="2:3" ht="12.75">
      <c r="B68" s="8"/>
      <c r="C68" s="8"/>
    </row>
    <row r="69" spans="2:3" ht="12.75">
      <c r="B69" s="8"/>
      <c r="C69" s="8"/>
    </row>
    <row r="70" spans="2:3" ht="12.75">
      <c r="B70" s="8"/>
      <c r="C70" s="8"/>
    </row>
    <row r="71" spans="2:3" ht="12.75">
      <c r="B71" s="8"/>
      <c r="C71" s="8"/>
    </row>
    <row r="72" spans="2:3" ht="12.75">
      <c r="B72" s="8"/>
      <c r="C72" s="8"/>
    </row>
    <row r="73" spans="2:3" ht="12.75">
      <c r="B73" s="8"/>
      <c r="C73" s="8"/>
    </row>
    <row r="74" spans="2:3" ht="12.75">
      <c r="B74" s="8"/>
      <c r="C74" s="8"/>
    </row>
    <row r="75" spans="2:3" ht="12.75">
      <c r="B75" s="8"/>
      <c r="C75" s="8"/>
    </row>
    <row r="76" spans="2:3" ht="12.75">
      <c r="B76" s="8"/>
      <c r="C76" s="8"/>
    </row>
    <row r="77" spans="2:3" ht="12.75">
      <c r="B77" s="8"/>
      <c r="C77" s="8"/>
    </row>
    <row r="78" spans="2:3" ht="12.75">
      <c r="B78" s="8"/>
      <c r="C78" s="8"/>
    </row>
    <row r="79" spans="2:3" ht="12.75">
      <c r="B79" s="8"/>
      <c r="C79" s="8"/>
    </row>
    <row r="80" spans="2:3" ht="12.75">
      <c r="B80" s="8"/>
      <c r="C80" s="8"/>
    </row>
    <row r="81" spans="2:3" ht="12.75">
      <c r="B81" s="8"/>
      <c r="C81" s="8"/>
    </row>
    <row r="82" spans="2:3" ht="12.75">
      <c r="B82" s="8"/>
      <c r="C82" s="8"/>
    </row>
    <row r="83" spans="2:3" ht="12.75">
      <c r="B83" s="8"/>
      <c r="C83" s="8"/>
    </row>
    <row r="84" spans="2:3" ht="12.75">
      <c r="B84" s="8"/>
      <c r="C84" s="8"/>
    </row>
    <row r="85" spans="2:3" ht="12.75">
      <c r="B85" s="8"/>
      <c r="C85" s="8"/>
    </row>
    <row r="86" spans="2:3" ht="12.75">
      <c r="B86" s="8"/>
      <c r="C86" s="8"/>
    </row>
    <row r="87" spans="2:3" ht="12.75">
      <c r="B87" s="8"/>
      <c r="C87" s="8"/>
    </row>
    <row r="88" spans="2:3" ht="12.75">
      <c r="B88" s="8"/>
      <c r="C88" s="8"/>
    </row>
    <row r="89" spans="2:3" ht="12.75">
      <c r="B89" s="8"/>
      <c r="C89" s="8"/>
    </row>
    <row r="90" spans="2:3" ht="12.75">
      <c r="B90" s="8"/>
      <c r="C90" s="8"/>
    </row>
    <row r="91" spans="2:3" ht="12.75">
      <c r="B91" s="8"/>
      <c r="C91" s="8"/>
    </row>
    <row r="92" spans="2:3" ht="12.75">
      <c r="B92" s="8"/>
      <c r="C92" s="8"/>
    </row>
    <row r="93" spans="2:3" ht="12.75">
      <c r="B93" s="8"/>
      <c r="C93" s="8"/>
    </row>
    <row r="94" spans="2:3" ht="12.75">
      <c r="B94" s="8"/>
      <c r="C94" s="8"/>
    </row>
    <row r="95" spans="2:3" ht="12.75">
      <c r="B95" s="8"/>
      <c r="C95" s="8"/>
    </row>
    <row r="96" spans="2:3" ht="12.75">
      <c r="B96" s="8"/>
      <c r="C96" s="8"/>
    </row>
    <row r="97" spans="2:3" ht="12.75">
      <c r="B97" s="8"/>
      <c r="C97" s="8"/>
    </row>
    <row r="98" spans="2:3" ht="12.75">
      <c r="B98" s="8"/>
      <c r="C98" s="8"/>
    </row>
    <row r="99" spans="2:3" ht="12.75">
      <c r="B99" s="8"/>
      <c r="C99" s="8"/>
    </row>
    <row r="100" spans="2:3" ht="12.75">
      <c r="B100" s="8"/>
      <c r="C100" s="8"/>
    </row>
    <row r="101" spans="2:3" ht="12.75">
      <c r="B101" s="8"/>
      <c r="C101" s="8"/>
    </row>
    <row r="102" spans="2:3" ht="12.75">
      <c r="B102" s="8"/>
      <c r="C102" s="8"/>
    </row>
    <row r="103" spans="2:3" ht="12.75">
      <c r="B103" s="8"/>
      <c r="C103" s="8"/>
    </row>
    <row r="104" spans="2:3" ht="12.75">
      <c r="B104" s="8"/>
      <c r="C104" s="8"/>
    </row>
    <row r="105" spans="2:3" ht="12.75">
      <c r="B105" s="8"/>
      <c r="C105" s="8"/>
    </row>
    <row r="106" spans="2:3" ht="12.75">
      <c r="B106" s="8"/>
      <c r="C106" s="8"/>
    </row>
    <row r="107" spans="2:3" ht="12.75">
      <c r="B107" s="8"/>
      <c r="C107" s="8"/>
    </row>
    <row r="108" spans="2:3" ht="12.75">
      <c r="B108" s="8"/>
      <c r="C108" s="8"/>
    </row>
    <row r="109" spans="2:3" ht="12.75">
      <c r="B109" s="8"/>
      <c r="C109" s="8"/>
    </row>
    <row r="110" spans="2:3" ht="12.75">
      <c r="B110" s="8"/>
      <c r="C110" s="8"/>
    </row>
    <row r="111" spans="2:3" ht="12.75">
      <c r="B111" s="8"/>
      <c r="C111" s="8"/>
    </row>
    <row r="112" spans="2:3" ht="12.75">
      <c r="B112" s="8"/>
      <c r="C112" s="8"/>
    </row>
    <row r="113" spans="2:3" ht="12.75">
      <c r="B113" s="8"/>
      <c r="C113" s="8"/>
    </row>
    <row r="114" spans="2:3" ht="12.75">
      <c r="B114" s="8"/>
      <c r="C114" s="8"/>
    </row>
    <row r="115" spans="2:3" ht="12.75">
      <c r="B115" s="8"/>
      <c r="C115" s="8"/>
    </row>
    <row r="116" spans="2:3" ht="12.75">
      <c r="B116" s="8"/>
      <c r="C116" s="8"/>
    </row>
    <row r="117" spans="2:3" ht="12.75">
      <c r="B117" s="8"/>
      <c r="C117" s="8"/>
    </row>
    <row r="118" spans="2:3" ht="12.75">
      <c r="B118" s="8"/>
      <c r="C118" s="8"/>
    </row>
    <row r="119" spans="2:3" ht="12.75">
      <c r="B119" s="8"/>
      <c r="C119" s="8"/>
    </row>
    <row r="120" spans="2:3" ht="12.75">
      <c r="B120" s="8"/>
      <c r="C120" s="8"/>
    </row>
    <row r="121" spans="2:3" ht="12.75">
      <c r="B121" s="8"/>
      <c r="C121" s="8"/>
    </row>
    <row r="122" spans="2:3" ht="12.75">
      <c r="B122" s="8"/>
      <c r="C122" s="8"/>
    </row>
    <row r="123" spans="2:3" ht="12.75">
      <c r="B123" s="8"/>
      <c r="C123" s="8"/>
    </row>
    <row r="124" spans="2:3" ht="12.75">
      <c r="B124" s="8"/>
      <c r="C124" s="8"/>
    </row>
    <row r="125" spans="2:3" ht="12.75">
      <c r="B125" s="8"/>
      <c r="C125" s="8"/>
    </row>
    <row r="126" spans="2:3" ht="12.75">
      <c r="B126" s="8"/>
      <c r="C126" s="8"/>
    </row>
    <row r="127" spans="2:3" ht="12.75">
      <c r="B127" s="8"/>
      <c r="C127" s="8"/>
    </row>
    <row r="128" spans="2:3" ht="12.75">
      <c r="B128" s="8"/>
      <c r="C128" s="8"/>
    </row>
    <row r="129" spans="2:3" ht="12.75">
      <c r="B129" s="8"/>
      <c r="C129" s="8"/>
    </row>
    <row r="130" spans="2:3" ht="12.75">
      <c r="B130" s="8"/>
      <c r="C130" s="8"/>
    </row>
    <row r="131" spans="2:3" ht="12.75">
      <c r="B131" s="8"/>
      <c r="C131" s="8"/>
    </row>
    <row r="132" spans="2:3" ht="12.75">
      <c r="B132" s="8"/>
      <c r="C132" s="8"/>
    </row>
    <row r="133" spans="2:3" ht="12.75">
      <c r="B133" s="8"/>
      <c r="C133" s="8"/>
    </row>
    <row r="134" spans="2:3" ht="12.75">
      <c r="B134" s="8"/>
      <c r="C134" s="8"/>
    </row>
    <row r="135" spans="2:3" ht="12.75">
      <c r="B135" s="8"/>
      <c r="C135" s="8"/>
    </row>
    <row r="136" spans="2:3" ht="12.75">
      <c r="B136" s="8"/>
      <c r="C136" s="8"/>
    </row>
    <row r="137" spans="2:3" ht="12.75">
      <c r="B137" s="8"/>
      <c r="C137" s="8"/>
    </row>
    <row r="138" spans="2:3" ht="12.75">
      <c r="B138" s="8"/>
      <c r="C138" s="8"/>
    </row>
    <row r="139" spans="2:3" ht="12.75">
      <c r="B139" s="8"/>
      <c r="C139" s="8"/>
    </row>
    <row r="140" spans="2:3" ht="12.75">
      <c r="B140" s="8"/>
      <c r="C140" s="8"/>
    </row>
    <row r="141" spans="2:3" ht="12.75">
      <c r="B141" s="8"/>
      <c r="C141" s="8"/>
    </row>
    <row r="142" spans="2:3" ht="12.75">
      <c r="B142" s="8"/>
      <c r="C142" s="8"/>
    </row>
    <row r="143" spans="2:3" ht="12.75">
      <c r="B143" s="8"/>
      <c r="C143" s="8"/>
    </row>
    <row r="144" spans="2:3" ht="12.75">
      <c r="B144" s="8"/>
      <c r="C144" s="8"/>
    </row>
    <row r="145" spans="2:3" ht="12.75">
      <c r="B145" s="8"/>
      <c r="C145" s="8"/>
    </row>
    <row r="146" spans="2:3" ht="12.75">
      <c r="B146" s="8"/>
      <c r="C146" s="8"/>
    </row>
    <row r="147" spans="2:3" ht="12.75">
      <c r="B147" s="8"/>
      <c r="C147" s="8"/>
    </row>
    <row r="148" spans="2:3" ht="12.75">
      <c r="B148" s="8"/>
      <c r="C148" s="8"/>
    </row>
    <row r="149" spans="2:3" ht="12.75">
      <c r="B149" s="8"/>
      <c r="C149" s="8"/>
    </row>
    <row r="150" spans="2:3" ht="12.75">
      <c r="B150" s="8"/>
      <c r="C150" s="8"/>
    </row>
    <row r="151" spans="2:3" ht="12.75">
      <c r="B151" s="8"/>
      <c r="C151" s="8"/>
    </row>
    <row r="152" spans="2:3" ht="12.75">
      <c r="B152" s="8"/>
      <c r="C152" s="8"/>
    </row>
    <row r="153" spans="2:3" ht="12.75">
      <c r="B153" s="8"/>
      <c r="C153" s="8"/>
    </row>
    <row r="154" spans="2:3" ht="12.75">
      <c r="B154" s="8"/>
      <c r="C154" s="8"/>
    </row>
    <row r="155" spans="2:3" ht="12.75">
      <c r="B155" s="8"/>
      <c r="C155" s="8"/>
    </row>
  </sheetData>
  <sheetProtection/>
  <mergeCells count="5">
    <mergeCell ref="A14:C19"/>
    <mergeCell ref="A3:C3"/>
    <mergeCell ref="A5:A6"/>
    <mergeCell ref="B5:B6"/>
    <mergeCell ref="C5:C6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:C21"/>
    </sheetView>
  </sheetViews>
  <sheetFormatPr defaultColWidth="11.375" defaultRowHeight="15.75"/>
  <cols>
    <col min="1" max="1" width="35.75390625" style="1" customWidth="1"/>
    <col min="2" max="3" width="25.75390625" style="1" customWidth="1"/>
    <col min="4" max="16384" width="11.375" style="1" customWidth="1"/>
  </cols>
  <sheetData>
    <row r="1" ht="15">
      <c r="A1"/>
    </row>
    <row r="2" ht="13.5" thickBot="1"/>
    <row r="3" spans="1:3" ht="49.5" customHeight="1" thickTop="1">
      <c r="A3" s="144" t="s">
        <v>125</v>
      </c>
      <c r="B3" s="154"/>
      <c r="C3" s="145"/>
    </row>
    <row r="4" spans="1:3" ht="23.25" thickBot="1">
      <c r="A4" s="2"/>
      <c r="B4" s="3"/>
      <c r="C4" s="4"/>
    </row>
    <row r="5" spans="1:3" ht="69.75" customHeight="1">
      <c r="A5" s="146" t="s">
        <v>76</v>
      </c>
      <c r="B5" s="148" t="s">
        <v>68</v>
      </c>
      <c r="C5" s="155" t="s">
        <v>69</v>
      </c>
    </row>
    <row r="6" spans="1:3" ht="30" customHeight="1" thickBot="1">
      <c r="A6" s="150"/>
      <c r="B6" s="149"/>
      <c r="C6" s="156"/>
    </row>
    <row r="7" spans="1:3" ht="69.75" customHeight="1" thickBot="1">
      <c r="A7" s="59" t="s">
        <v>75</v>
      </c>
      <c r="B7" s="33">
        <f>'DetailsTS12.2'!E10</f>
        <v>0.08190811287957933</v>
      </c>
      <c r="C7" s="60">
        <f>'DetailsTS12.2'!F10</f>
        <v>0.07213255048120759</v>
      </c>
    </row>
    <row r="8" spans="1:3" ht="49.5" customHeight="1" thickBot="1">
      <c r="A8" s="32" t="s">
        <v>70</v>
      </c>
      <c r="B8" s="33">
        <f>AVERAGE('DetailsTS12.2'!E31:E33)</f>
        <v>0.10219467057511518</v>
      </c>
      <c r="C8" s="60">
        <f>AVERAGE('DetailsTS12.2'!F31:F33)</f>
        <v>0.10008779820515394</v>
      </c>
    </row>
    <row r="9" spans="1:3" ht="49.5" customHeight="1" thickBot="1">
      <c r="A9" s="59" t="s">
        <v>71</v>
      </c>
      <c r="B9" s="33">
        <f>'DetailsTS12.2'!E20</f>
        <v>0.08837516713330218</v>
      </c>
      <c r="C9" s="60">
        <f>'DetailsTS12.2'!F20</f>
        <v>0.07801022126391732</v>
      </c>
    </row>
    <row r="10" spans="1:3" ht="49.5" customHeight="1" thickBot="1">
      <c r="A10" s="59" t="s">
        <v>72</v>
      </c>
      <c r="B10" s="33">
        <f>'DetailsTS12.2'!E21</f>
        <v>0.07756035931130079</v>
      </c>
      <c r="C10" s="60">
        <f>'DetailsTS12.2'!F21</f>
        <v>0.06336317292396054</v>
      </c>
    </row>
    <row r="11" spans="1:3" s="5" customFormat="1" ht="49.5" customHeight="1" thickBot="1">
      <c r="A11" s="59" t="s">
        <v>73</v>
      </c>
      <c r="B11" s="33">
        <f>'DetailsTS12.2'!E22</f>
        <v>0.0705712928342459</v>
      </c>
      <c r="C11" s="60">
        <f>'DetailsTS12.2'!F22</f>
        <v>0.05855743727443308</v>
      </c>
    </row>
    <row r="12" spans="1:3" ht="49.5" customHeight="1" thickBot="1">
      <c r="A12" s="61" t="s">
        <v>74</v>
      </c>
      <c r="B12" s="34">
        <f>'DetailsTS12.2'!E23</f>
        <v>0.0616533769753318</v>
      </c>
      <c r="C12" s="62">
        <f>'DetailsTS12.2'!F23</f>
        <v>0.05136478867476013</v>
      </c>
    </row>
    <row r="13" spans="1:3" ht="18" thickBot="1" thickTop="1">
      <c r="A13" s="35"/>
      <c r="B13" s="36"/>
      <c r="C13" s="36"/>
    </row>
    <row r="14" spans="1:3" ht="12.75" customHeight="1" thickTop="1">
      <c r="A14" s="138" t="s">
        <v>124</v>
      </c>
      <c r="B14" s="151"/>
      <c r="C14" s="139"/>
    </row>
    <row r="15" spans="1:3" ht="12.75" customHeight="1">
      <c r="A15" s="140"/>
      <c r="B15" s="152"/>
      <c r="C15" s="141"/>
    </row>
    <row r="16" spans="1:3" ht="12.75" customHeight="1">
      <c r="A16" s="140"/>
      <c r="B16" s="152"/>
      <c r="C16" s="141"/>
    </row>
    <row r="17" spans="1:3" ht="12.75" customHeight="1">
      <c r="A17" s="140"/>
      <c r="B17" s="152"/>
      <c r="C17" s="141"/>
    </row>
    <row r="18" spans="1:3" ht="12.75" customHeight="1">
      <c r="A18" s="140"/>
      <c r="B18" s="152"/>
      <c r="C18" s="141"/>
    </row>
    <row r="19" spans="1:3" ht="12.75" customHeight="1">
      <c r="A19" s="140"/>
      <c r="B19" s="152"/>
      <c r="C19" s="141"/>
    </row>
    <row r="20" spans="1:3" ht="12" customHeight="1">
      <c r="A20" s="140"/>
      <c r="B20" s="152"/>
      <c r="C20" s="141"/>
    </row>
    <row r="21" spans="1:3" ht="12.75" customHeight="1" thickBot="1">
      <c r="A21" s="142"/>
      <c r="B21" s="153"/>
      <c r="C21" s="143"/>
    </row>
    <row r="22" spans="1:3" ht="13.5" thickTop="1">
      <c r="A22" s="6"/>
      <c r="B22" s="7"/>
      <c r="C22" s="7"/>
    </row>
    <row r="23" spans="1:3" ht="12.75">
      <c r="A23" s="31"/>
      <c r="B23" s="7"/>
      <c r="C23" s="7"/>
    </row>
    <row r="24" spans="1:3" ht="12.75">
      <c r="A24" s="6"/>
      <c r="B24" s="7"/>
      <c r="C24" s="7"/>
    </row>
    <row r="25" spans="1:3" ht="12.75">
      <c r="A25" s="6"/>
      <c r="B25" s="7"/>
      <c r="C25" s="7"/>
    </row>
    <row r="26" spans="1:3" ht="12.75">
      <c r="A26" s="6"/>
      <c r="B26" s="7"/>
      <c r="C26" s="7"/>
    </row>
    <row r="27" spans="1:3" ht="12.75">
      <c r="A27" s="6"/>
      <c r="B27" s="7"/>
      <c r="C27" s="7"/>
    </row>
    <row r="28" spans="1:3" ht="12.75">
      <c r="A28" s="6"/>
      <c r="B28" s="7"/>
      <c r="C28" s="7"/>
    </row>
    <row r="29" spans="1:3" ht="12.75">
      <c r="A29" s="6"/>
      <c r="B29" s="7"/>
      <c r="C29" s="7"/>
    </row>
    <row r="30" spans="1:3" ht="12.75">
      <c r="A30" s="6"/>
      <c r="B30" s="7"/>
      <c r="C30" s="7"/>
    </row>
    <row r="31" spans="1:3" ht="12.75">
      <c r="A31" s="6"/>
      <c r="B31" s="7"/>
      <c r="C31" s="7"/>
    </row>
    <row r="32" spans="1:3" ht="12.75">
      <c r="A32" s="6"/>
      <c r="B32" s="7"/>
      <c r="C32" s="7"/>
    </row>
    <row r="33" spans="1:3" ht="12.75">
      <c r="A33" s="6"/>
      <c r="B33" s="7"/>
      <c r="C33" s="7"/>
    </row>
    <row r="34" spans="1:3" ht="12.75">
      <c r="A34" s="6"/>
      <c r="B34" s="7"/>
      <c r="C34" s="7"/>
    </row>
    <row r="35" spans="1:3" ht="12.75">
      <c r="A35" s="6"/>
      <c r="B35" s="7"/>
      <c r="C35" s="7"/>
    </row>
    <row r="36" spans="1:3" ht="12.75">
      <c r="A36" s="6"/>
      <c r="B36" s="7"/>
      <c r="C36" s="7"/>
    </row>
    <row r="37" spans="1:3" ht="12.75">
      <c r="A37" s="6"/>
      <c r="B37" s="7"/>
      <c r="C37" s="7"/>
    </row>
    <row r="38" spans="1:3" ht="12.75">
      <c r="A38" s="6"/>
      <c r="B38" s="7"/>
      <c r="C38" s="7"/>
    </row>
    <row r="39" spans="1:3" ht="12.75">
      <c r="A39" s="6"/>
      <c r="B39" s="7"/>
      <c r="C39" s="7"/>
    </row>
    <row r="40" spans="1:3" ht="12.75">
      <c r="A40" s="6"/>
      <c r="B40" s="7"/>
      <c r="C40" s="7"/>
    </row>
    <row r="41" spans="1:3" ht="12.75">
      <c r="A41" s="6"/>
      <c r="B41" s="7"/>
      <c r="C41" s="7"/>
    </row>
    <row r="42" spans="1:3" ht="12.75">
      <c r="A42" s="6"/>
      <c r="B42" s="7"/>
      <c r="C42" s="7"/>
    </row>
    <row r="43" spans="1:3" ht="12.75">
      <c r="A43" s="6"/>
      <c r="B43" s="7"/>
      <c r="C43" s="7"/>
    </row>
    <row r="44" spans="1:3" ht="12.75">
      <c r="A44" s="6"/>
      <c r="B44" s="7"/>
      <c r="C44" s="7"/>
    </row>
    <row r="45" spans="1:3" ht="12.75">
      <c r="A45" s="6"/>
      <c r="B45" s="7"/>
      <c r="C45" s="7"/>
    </row>
    <row r="46" spans="1:3" ht="12.75">
      <c r="A46" s="6"/>
      <c r="B46" s="7"/>
      <c r="C46" s="7"/>
    </row>
    <row r="47" spans="1:3" ht="12.75">
      <c r="A47" s="6"/>
      <c r="B47" s="7"/>
      <c r="C47" s="7"/>
    </row>
    <row r="48" spans="2:3" ht="12.75">
      <c r="B48" s="8"/>
      <c r="C48" s="8"/>
    </row>
    <row r="49" spans="2:3" ht="12.75">
      <c r="B49" s="8"/>
      <c r="C49" s="8"/>
    </row>
    <row r="50" spans="2:3" ht="12.75">
      <c r="B50" s="8"/>
      <c r="C50" s="8"/>
    </row>
    <row r="51" spans="2:3" ht="12.75">
      <c r="B51" s="8"/>
      <c r="C51" s="8"/>
    </row>
    <row r="52" spans="2:3" ht="12.75">
      <c r="B52" s="8"/>
      <c r="C52" s="8"/>
    </row>
    <row r="53" spans="2:3" ht="12.75">
      <c r="B53" s="8"/>
      <c r="C53" s="8"/>
    </row>
    <row r="54" spans="2:3" ht="12.75">
      <c r="B54" s="8"/>
      <c r="C54" s="8"/>
    </row>
    <row r="55" spans="2:3" ht="12.75">
      <c r="B55" s="8"/>
      <c r="C55" s="8"/>
    </row>
    <row r="56" spans="2:3" ht="12.75">
      <c r="B56" s="8"/>
      <c r="C56" s="8"/>
    </row>
    <row r="57" spans="2:3" ht="12.75">
      <c r="B57" s="8"/>
      <c r="C57" s="8"/>
    </row>
    <row r="58" spans="2:3" ht="12.75">
      <c r="B58" s="8"/>
      <c r="C58" s="8"/>
    </row>
    <row r="59" spans="2:3" ht="12.75">
      <c r="B59" s="8"/>
      <c r="C59" s="8"/>
    </row>
    <row r="60" spans="2:3" ht="12.75">
      <c r="B60" s="8"/>
      <c r="C60" s="8"/>
    </row>
    <row r="61" spans="2:3" ht="12.75">
      <c r="B61" s="8"/>
      <c r="C61" s="8"/>
    </row>
    <row r="62" spans="2:3" ht="12.75">
      <c r="B62" s="8"/>
      <c r="C62" s="8"/>
    </row>
    <row r="63" spans="2:3" ht="12.75">
      <c r="B63" s="8"/>
      <c r="C63" s="8"/>
    </row>
    <row r="64" spans="2:3" ht="12.75">
      <c r="B64" s="8"/>
      <c r="C64" s="8"/>
    </row>
    <row r="65" spans="2:3" ht="12.75">
      <c r="B65" s="8"/>
      <c r="C65" s="8"/>
    </row>
    <row r="66" spans="2:3" ht="12.75">
      <c r="B66" s="8"/>
      <c r="C66" s="8"/>
    </row>
    <row r="67" spans="2:3" ht="12.75">
      <c r="B67" s="8"/>
      <c r="C67" s="8"/>
    </row>
    <row r="68" spans="2:3" ht="12.75">
      <c r="B68" s="8"/>
      <c r="C68" s="8"/>
    </row>
    <row r="69" spans="2:3" ht="12.75">
      <c r="B69" s="8"/>
      <c r="C69" s="8"/>
    </row>
    <row r="70" spans="2:3" ht="12.75">
      <c r="B70" s="8"/>
      <c r="C70" s="8"/>
    </row>
    <row r="71" spans="2:3" ht="12.75">
      <c r="B71" s="8"/>
      <c r="C71" s="8"/>
    </row>
    <row r="72" spans="2:3" ht="12.75">
      <c r="B72" s="8"/>
      <c r="C72" s="8"/>
    </row>
    <row r="73" spans="2:3" ht="12.75">
      <c r="B73" s="8"/>
      <c r="C73" s="8"/>
    </row>
    <row r="74" spans="2:3" ht="12.75">
      <c r="B74" s="8"/>
      <c r="C74" s="8"/>
    </row>
    <row r="75" spans="2:3" ht="12.75">
      <c r="B75" s="8"/>
      <c r="C75" s="8"/>
    </row>
    <row r="76" spans="2:3" ht="12.75">
      <c r="B76" s="8"/>
      <c r="C76" s="8"/>
    </row>
    <row r="77" spans="2:3" ht="12.75">
      <c r="B77" s="8"/>
      <c r="C77" s="8"/>
    </row>
    <row r="78" spans="2:3" ht="12.75">
      <c r="B78" s="8"/>
      <c r="C78" s="8"/>
    </row>
    <row r="79" spans="2:3" ht="12.75">
      <c r="B79" s="8"/>
      <c r="C79" s="8"/>
    </row>
    <row r="80" spans="2:3" ht="12.75">
      <c r="B80" s="8"/>
      <c r="C80" s="8"/>
    </row>
    <row r="81" spans="2:3" ht="12.75">
      <c r="B81" s="8"/>
      <c r="C81" s="8"/>
    </row>
    <row r="82" spans="2:3" ht="12.75">
      <c r="B82" s="8"/>
      <c r="C82" s="8"/>
    </row>
    <row r="83" spans="2:3" ht="12.75">
      <c r="B83" s="8"/>
      <c r="C83" s="8"/>
    </row>
    <row r="84" spans="2:3" ht="12.75">
      <c r="B84" s="8"/>
      <c r="C84" s="8"/>
    </row>
    <row r="85" spans="2:3" ht="12.75">
      <c r="B85" s="8"/>
      <c r="C85" s="8"/>
    </row>
    <row r="86" spans="2:3" ht="12.75">
      <c r="B86" s="8"/>
      <c r="C86" s="8"/>
    </row>
    <row r="87" spans="2:3" ht="12.75">
      <c r="B87" s="8"/>
      <c r="C87" s="8"/>
    </row>
    <row r="88" spans="2:3" ht="12.75">
      <c r="B88" s="8"/>
      <c r="C88" s="8"/>
    </row>
    <row r="89" spans="2:3" ht="12.75">
      <c r="B89" s="8"/>
      <c r="C89" s="8"/>
    </row>
    <row r="90" spans="2:3" ht="12.75">
      <c r="B90" s="8"/>
      <c r="C90" s="8"/>
    </row>
    <row r="91" spans="2:3" ht="12.75">
      <c r="B91" s="8"/>
      <c r="C91" s="8"/>
    </row>
    <row r="92" spans="2:3" ht="12.75">
      <c r="B92" s="8"/>
      <c r="C92" s="8"/>
    </row>
    <row r="93" spans="2:3" ht="12.75">
      <c r="B93" s="8"/>
      <c r="C93" s="8"/>
    </row>
    <row r="94" spans="2:3" ht="12.75">
      <c r="B94" s="8"/>
      <c r="C94" s="8"/>
    </row>
    <row r="95" spans="2:3" ht="12.75">
      <c r="B95" s="8"/>
      <c r="C95" s="8"/>
    </row>
    <row r="96" spans="2:3" ht="12.75">
      <c r="B96" s="8"/>
      <c r="C96" s="8"/>
    </row>
    <row r="97" spans="2:3" ht="12.75">
      <c r="B97" s="8"/>
      <c r="C97" s="8"/>
    </row>
    <row r="98" spans="2:3" ht="12.75">
      <c r="B98" s="8"/>
      <c r="C98" s="8"/>
    </row>
    <row r="99" spans="2:3" ht="12.75">
      <c r="B99" s="8"/>
      <c r="C99" s="8"/>
    </row>
    <row r="100" spans="2:3" ht="12.75">
      <c r="B100" s="8"/>
      <c r="C100" s="8"/>
    </row>
    <row r="101" spans="2:3" ht="12.75">
      <c r="B101" s="8"/>
      <c r="C101" s="8"/>
    </row>
    <row r="102" spans="2:3" ht="12.75">
      <c r="B102" s="8"/>
      <c r="C102" s="8"/>
    </row>
    <row r="103" spans="2:3" ht="12.75">
      <c r="B103" s="8"/>
      <c r="C103" s="8"/>
    </row>
    <row r="104" spans="2:3" ht="12.75">
      <c r="B104" s="8"/>
      <c r="C104" s="8"/>
    </row>
    <row r="105" spans="2:3" ht="12.75">
      <c r="B105" s="8"/>
      <c r="C105" s="8"/>
    </row>
    <row r="106" spans="2:3" ht="12.75">
      <c r="B106" s="8"/>
      <c r="C106" s="8"/>
    </row>
    <row r="107" spans="2:3" ht="12.75">
      <c r="B107" s="8"/>
      <c r="C107" s="8"/>
    </row>
    <row r="108" spans="2:3" ht="12.75">
      <c r="B108" s="8"/>
      <c r="C108" s="8"/>
    </row>
    <row r="109" spans="2:3" ht="12.75">
      <c r="B109" s="8"/>
      <c r="C109" s="8"/>
    </row>
    <row r="110" spans="2:3" ht="12.75">
      <c r="B110" s="8"/>
      <c r="C110" s="8"/>
    </row>
    <row r="111" spans="2:3" ht="12.75">
      <c r="B111" s="8"/>
      <c r="C111" s="8"/>
    </row>
    <row r="112" spans="2:3" ht="12.75">
      <c r="B112" s="8"/>
      <c r="C112" s="8"/>
    </row>
    <row r="113" spans="2:3" ht="12.75">
      <c r="B113" s="8"/>
      <c r="C113" s="8"/>
    </row>
    <row r="114" spans="2:3" ht="12.75">
      <c r="B114" s="8"/>
      <c r="C114" s="8"/>
    </row>
    <row r="115" spans="2:3" ht="12.75">
      <c r="B115" s="8"/>
      <c r="C115" s="8"/>
    </row>
    <row r="116" spans="2:3" ht="12.75">
      <c r="B116" s="8"/>
      <c r="C116" s="8"/>
    </row>
    <row r="117" spans="2:3" ht="12.75">
      <c r="B117" s="8"/>
      <c r="C117" s="8"/>
    </row>
    <row r="118" spans="2:3" ht="12.75">
      <c r="B118" s="8"/>
      <c r="C118" s="8"/>
    </row>
    <row r="119" spans="2:3" ht="12.75">
      <c r="B119" s="8"/>
      <c r="C119" s="8"/>
    </row>
    <row r="120" spans="2:3" ht="12.75">
      <c r="B120" s="8"/>
      <c r="C120" s="8"/>
    </row>
    <row r="121" spans="2:3" ht="12.75">
      <c r="B121" s="8"/>
      <c r="C121" s="8"/>
    </row>
    <row r="122" spans="2:3" ht="12.75">
      <c r="B122" s="8"/>
      <c r="C122" s="8"/>
    </row>
    <row r="123" spans="2:3" ht="12.75">
      <c r="B123" s="8"/>
      <c r="C123" s="8"/>
    </row>
    <row r="124" spans="2:3" ht="12.75">
      <c r="B124" s="8"/>
      <c r="C124" s="8"/>
    </row>
    <row r="125" spans="2:3" ht="12.75">
      <c r="B125" s="8"/>
      <c r="C125" s="8"/>
    </row>
    <row r="126" spans="2:3" ht="12.75">
      <c r="B126" s="8"/>
      <c r="C126" s="8"/>
    </row>
    <row r="127" spans="2:3" ht="12.75">
      <c r="B127" s="8"/>
      <c r="C127" s="8"/>
    </row>
    <row r="128" spans="2:3" ht="12.75">
      <c r="B128" s="8"/>
      <c r="C128" s="8"/>
    </row>
    <row r="129" spans="2:3" ht="12.75">
      <c r="B129" s="8"/>
      <c r="C129" s="8"/>
    </row>
    <row r="130" spans="2:3" ht="12.75">
      <c r="B130" s="8"/>
      <c r="C130" s="8"/>
    </row>
    <row r="131" spans="2:3" ht="12.75">
      <c r="B131" s="8"/>
      <c r="C131" s="8"/>
    </row>
    <row r="132" spans="2:3" ht="12.75">
      <c r="B132" s="8"/>
      <c r="C132" s="8"/>
    </row>
    <row r="133" spans="2:3" ht="12.75">
      <c r="B133" s="8"/>
      <c r="C133" s="8"/>
    </row>
    <row r="134" spans="2:3" ht="12.75">
      <c r="B134" s="8"/>
      <c r="C134" s="8"/>
    </row>
    <row r="135" spans="2:3" ht="12.75">
      <c r="B135" s="8"/>
      <c r="C135" s="8"/>
    </row>
    <row r="136" spans="2:3" ht="12.75">
      <c r="B136" s="8"/>
      <c r="C136" s="8"/>
    </row>
    <row r="137" spans="2:3" ht="12.75">
      <c r="B137" s="8"/>
      <c r="C137" s="8"/>
    </row>
    <row r="138" spans="2:3" ht="12.75">
      <c r="B138" s="8"/>
      <c r="C138" s="8"/>
    </row>
    <row r="139" spans="2:3" ht="12.75">
      <c r="B139" s="8"/>
      <c r="C139" s="8"/>
    </row>
    <row r="140" spans="2:3" ht="12.75">
      <c r="B140" s="8"/>
      <c r="C140" s="8"/>
    </row>
    <row r="141" spans="2:3" ht="12.75">
      <c r="B141" s="8"/>
      <c r="C141" s="8"/>
    </row>
    <row r="142" spans="2:3" ht="12.75">
      <c r="B142" s="8"/>
      <c r="C142" s="8"/>
    </row>
    <row r="143" spans="2:3" ht="12.75">
      <c r="B143" s="8"/>
      <c r="C143" s="8"/>
    </row>
    <row r="144" spans="2:3" ht="12.75">
      <c r="B144" s="8"/>
      <c r="C144" s="8"/>
    </row>
    <row r="145" spans="2:3" ht="12.75">
      <c r="B145" s="8"/>
      <c r="C145" s="8"/>
    </row>
    <row r="146" spans="2:3" ht="12.75">
      <c r="B146" s="8"/>
      <c r="C146" s="8"/>
    </row>
    <row r="147" spans="2:3" ht="12.75">
      <c r="B147" s="8"/>
      <c r="C147" s="8"/>
    </row>
    <row r="148" spans="2:3" ht="12.75">
      <c r="B148" s="8"/>
      <c r="C148" s="8"/>
    </row>
    <row r="149" spans="2:3" ht="12.75">
      <c r="B149" s="8"/>
      <c r="C149" s="8"/>
    </row>
    <row r="150" spans="2:3" ht="12.75">
      <c r="B150" s="8"/>
      <c r="C150" s="8"/>
    </row>
    <row r="151" spans="2:3" ht="12.75">
      <c r="B151" s="8"/>
      <c r="C151" s="8"/>
    </row>
    <row r="152" spans="2:3" ht="12.75">
      <c r="B152" s="8"/>
      <c r="C152" s="8"/>
    </row>
    <row r="153" spans="2:3" ht="12.75">
      <c r="B153" s="8"/>
      <c r="C153" s="8"/>
    </row>
    <row r="154" spans="2:3" ht="12.75">
      <c r="B154" s="8"/>
      <c r="C154" s="8"/>
    </row>
    <row r="155" spans="2:3" ht="12.75">
      <c r="B155" s="8"/>
      <c r="C155" s="8"/>
    </row>
    <row r="156" spans="2:3" ht="12.75">
      <c r="B156" s="8"/>
      <c r="C156" s="8"/>
    </row>
    <row r="157" spans="2:3" ht="12.75">
      <c r="B157" s="8"/>
      <c r="C157" s="8"/>
    </row>
  </sheetData>
  <sheetProtection/>
  <mergeCells count="5">
    <mergeCell ref="A14:C21"/>
    <mergeCell ref="A3:C3"/>
    <mergeCell ref="A5:A6"/>
    <mergeCell ref="B5:B6"/>
    <mergeCell ref="C5:C6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9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00390625" defaultRowHeight="15.75"/>
  <cols>
    <col min="1" max="7" width="15.75390625" style="0" customWidth="1"/>
  </cols>
  <sheetData>
    <row r="1" ht="15.75" thickBot="1"/>
    <row r="2" spans="1:7" ht="15.75" thickTop="1">
      <c r="A2" s="157" t="s">
        <v>139</v>
      </c>
      <c r="B2" s="158"/>
      <c r="C2" s="158"/>
      <c r="D2" s="158"/>
      <c r="E2" s="158"/>
      <c r="F2" s="158"/>
      <c r="G2" s="159"/>
    </row>
    <row r="3" spans="1:7" ht="15">
      <c r="A3" s="160"/>
      <c r="B3" s="161"/>
      <c r="C3" s="161"/>
      <c r="D3" s="161"/>
      <c r="E3" s="161"/>
      <c r="F3" s="161"/>
      <c r="G3" s="162"/>
    </row>
    <row r="4" spans="1:9" ht="15.75" thickBot="1">
      <c r="A4" s="163"/>
      <c r="B4" s="164"/>
      <c r="C4" s="164"/>
      <c r="D4" s="164"/>
      <c r="E4" s="164"/>
      <c r="F4" s="164"/>
      <c r="G4" s="165"/>
      <c r="H4" s="131"/>
      <c r="I4" s="57" t="s">
        <v>128</v>
      </c>
    </row>
    <row r="5" spans="1:38" ht="16.5" thickBot="1" thickTop="1">
      <c r="A5" s="131"/>
      <c r="B5" s="131"/>
      <c r="C5" s="131"/>
      <c r="D5" s="131"/>
      <c r="E5" s="131"/>
      <c r="F5" s="131"/>
      <c r="G5" s="131"/>
      <c r="H5" s="131"/>
      <c r="AL5" t="s">
        <v>87</v>
      </c>
    </row>
    <row r="6" spans="1:45" ht="75" customHeight="1" thickBot="1" thickTop="1">
      <c r="A6" s="133"/>
      <c r="B6" s="130" t="s">
        <v>140</v>
      </c>
      <c r="C6" s="130" t="s">
        <v>141</v>
      </c>
      <c r="D6" s="130" t="s">
        <v>142</v>
      </c>
      <c r="E6" s="130" t="s">
        <v>143</v>
      </c>
      <c r="F6" s="130" t="s">
        <v>144</v>
      </c>
      <c r="G6" s="130" t="s">
        <v>145</v>
      </c>
      <c r="H6" s="132"/>
      <c r="I6" s="106" t="s">
        <v>48</v>
      </c>
      <c r="J6" s="106" t="s">
        <v>49</v>
      </c>
      <c r="K6" s="106" t="s">
        <v>50</v>
      </c>
      <c r="L6" s="106" t="s">
        <v>51</v>
      </c>
      <c r="M6" s="106" t="s">
        <v>52</v>
      </c>
      <c r="N6" s="106" t="s">
        <v>53</v>
      </c>
      <c r="O6" s="106" t="s">
        <v>54</v>
      </c>
      <c r="P6" s="106" t="s">
        <v>55</v>
      </c>
      <c r="Q6" s="106" t="s">
        <v>94</v>
      </c>
      <c r="R6" s="106" t="s">
        <v>95</v>
      </c>
      <c r="S6" s="106" t="s">
        <v>56</v>
      </c>
      <c r="T6" s="106" t="s">
        <v>57</v>
      </c>
      <c r="U6" s="106" t="s">
        <v>58</v>
      </c>
      <c r="V6" s="106" t="s">
        <v>54</v>
      </c>
      <c r="X6" s="106" t="s">
        <v>65</v>
      </c>
      <c r="Y6" s="106" t="s">
        <v>66</v>
      </c>
      <c r="Z6" s="106" t="s">
        <v>58</v>
      </c>
      <c r="AA6" s="106" t="s">
        <v>54</v>
      </c>
      <c r="AB6" s="106"/>
      <c r="AC6" s="106" t="s">
        <v>59</v>
      </c>
      <c r="AD6" s="106" t="s">
        <v>60</v>
      </c>
      <c r="AE6" s="106" t="s">
        <v>88</v>
      </c>
      <c r="AF6" s="106" t="s">
        <v>89</v>
      </c>
      <c r="AG6" s="106" t="s">
        <v>83</v>
      </c>
      <c r="AH6" s="106" t="s">
        <v>84</v>
      </c>
      <c r="AI6" s="106" t="s">
        <v>61</v>
      </c>
      <c r="AJ6" s="106" t="s">
        <v>90</v>
      </c>
      <c r="AK6" s="106" t="s">
        <v>100</v>
      </c>
      <c r="AL6" s="106" t="s">
        <v>99</v>
      </c>
      <c r="AM6" s="106" t="s">
        <v>64</v>
      </c>
      <c r="AN6" s="106"/>
      <c r="AO6" s="106" t="s">
        <v>80</v>
      </c>
      <c r="AP6" s="106" t="s">
        <v>81</v>
      </c>
      <c r="AQ6" s="106" t="s">
        <v>93</v>
      </c>
      <c r="AR6" s="106" t="s">
        <v>91</v>
      </c>
      <c r="AS6" s="107" t="s">
        <v>92</v>
      </c>
    </row>
    <row r="7" spans="1:45" ht="15.75" thickTop="1">
      <c r="A7" s="108">
        <v>1987</v>
      </c>
      <c r="B7" s="110">
        <v>140</v>
      </c>
      <c r="C7" s="110">
        <v>295</v>
      </c>
      <c r="D7" s="116">
        <f aca="true" t="shared" si="0" ref="D7:D33">C7/AM7</f>
        <v>0.003970037426528659</v>
      </c>
      <c r="E7" s="115">
        <f aca="true" t="shared" si="1" ref="E7:E33">100*B7/R7</f>
        <v>4.910882755677113</v>
      </c>
      <c r="F7" s="116">
        <f aca="true" t="shared" si="2" ref="F7:F33">S7*U7/$AM7</f>
        <v>0.003052608261388288</v>
      </c>
      <c r="G7" s="116">
        <f aca="true" t="shared" si="3" ref="G7:G33">X7*Z7/$AM7</f>
        <v>0.0012904083329562733</v>
      </c>
      <c r="H7" s="119"/>
      <c r="I7" s="111"/>
      <c r="J7" s="112">
        <v>1</v>
      </c>
      <c r="K7" s="111">
        <v>20</v>
      </c>
      <c r="L7" s="113">
        <f>C7/B7</f>
        <v>2.107142857142857</v>
      </c>
      <c r="M7" s="113">
        <v>1.3</v>
      </c>
      <c r="N7" s="113">
        <f>M7*O7</f>
        <v>2.7300000000000004</v>
      </c>
      <c r="O7" s="113">
        <v>2.1</v>
      </c>
      <c r="P7" s="110">
        <v>5039.478</v>
      </c>
      <c r="Q7" s="114">
        <v>0.5656957504797645</v>
      </c>
      <c r="R7" s="110">
        <f>Q7*P7</f>
        <v>2850.811289236263</v>
      </c>
      <c r="S7" s="111">
        <f aca="true" t="shared" si="4" ref="S7:S33">0.00000005*1000000*R7</f>
        <v>142.54056446181312</v>
      </c>
      <c r="T7" s="113">
        <f>U7/V7</f>
        <v>0.7577757816798301</v>
      </c>
      <c r="U7" s="113">
        <f>U8*N7/N$10</f>
        <v>1.5913291415276432</v>
      </c>
      <c r="V7" s="112">
        <v>2.1</v>
      </c>
      <c r="X7" s="111">
        <f>S7/5</f>
        <v>28.508112892362625</v>
      </c>
      <c r="Y7" s="113">
        <f>Z7/AA7</f>
        <v>1.978505138662608</v>
      </c>
      <c r="Z7" s="113">
        <f>Z8*N7/N$10</f>
        <v>3.3634587357264336</v>
      </c>
      <c r="AA7" s="112">
        <v>1.7</v>
      </c>
      <c r="AB7" s="112"/>
      <c r="AC7" s="110">
        <f aca="true" t="shared" si="5" ref="AC7:AJ9">AC8/((AC$15/AC$10)^(1/5))</f>
        <v>18287.981446814367</v>
      </c>
      <c r="AD7" s="110">
        <f t="shared" si="5"/>
        <v>22118.509261189676</v>
      </c>
      <c r="AE7" s="110">
        <f t="shared" si="5"/>
        <v>31506.08060307526</v>
      </c>
      <c r="AF7" s="110">
        <f t="shared" si="5"/>
        <v>38105.21886352296</v>
      </c>
      <c r="AG7" s="110">
        <f>100*AD7/AF7</f>
        <v>58.04587907081435</v>
      </c>
      <c r="AH7" s="110">
        <f>100*AC7/AE7</f>
        <v>58.045879070814365</v>
      </c>
      <c r="AI7" s="110">
        <f t="shared" si="5"/>
        <v>16116.21392170239</v>
      </c>
      <c r="AJ7" s="110">
        <f t="shared" si="5"/>
        <v>31754.34905293579</v>
      </c>
      <c r="AK7" s="117">
        <f>AK8-2*(AK$20-AK$10)/10</f>
        <v>3.732751274560722</v>
      </c>
      <c r="AL7" s="110">
        <f>0.9*AK7*AC7</f>
        <v>61438.037449265255</v>
      </c>
      <c r="AM7" s="110">
        <f>0.9*AK7*AD7</f>
        <v>74306.60427248002</v>
      </c>
      <c r="AN7" s="118"/>
      <c r="AO7" s="110">
        <f aca="true" t="shared" si="6" ref="AO7:AO33">1000*AD7/R7</f>
        <v>7758.671836575778</v>
      </c>
      <c r="AP7" s="110">
        <f aca="true" t="shared" si="7" ref="AP7:AP33">1000*AM7/R7</f>
        <v>26065.072968188957</v>
      </c>
      <c r="AQ7" s="110">
        <f>0.9*AK7*AJ7</f>
        <v>106677.97821017292</v>
      </c>
      <c r="AR7" s="110">
        <f>1000*AJ7/$R7</f>
        <v>11138.706084415302</v>
      </c>
      <c r="AS7" s="109">
        <f>1000*AQ7/$R7</f>
        <v>37420.21740020264</v>
      </c>
    </row>
    <row r="8" spans="1:45" ht="15">
      <c r="A8" s="20">
        <v>1988</v>
      </c>
      <c r="B8" s="119">
        <v>191</v>
      </c>
      <c r="C8" s="119">
        <v>338</v>
      </c>
      <c r="D8" s="124">
        <f t="shared" si="0"/>
        <v>0.004262755432276543</v>
      </c>
      <c r="E8" s="123">
        <f t="shared" si="1"/>
        <v>6.5488315846152965</v>
      </c>
      <c r="F8" s="124">
        <f t="shared" si="2"/>
        <v>0.003782154026507042</v>
      </c>
      <c r="G8" s="124">
        <f t="shared" si="3"/>
        <v>0.0015988042534187499</v>
      </c>
      <c r="H8" s="119"/>
      <c r="I8" s="120">
        <v>64.473</v>
      </c>
      <c r="J8" s="87">
        <v>1</v>
      </c>
      <c r="K8" s="120">
        <v>18.9</v>
      </c>
      <c r="L8" s="121">
        <f>C8/B8</f>
        <v>1.7696335078534031</v>
      </c>
      <c r="M8" s="121">
        <v>1.4</v>
      </c>
      <c r="N8" s="121">
        <v>2.8</v>
      </c>
      <c r="O8" s="121">
        <f aca="true" t="shared" si="8" ref="O8:O30">N8/M8</f>
        <v>2</v>
      </c>
      <c r="P8" s="119">
        <v>5129.112572999999</v>
      </c>
      <c r="Q8" s="122">
        <v>0.5686267865876636</v>
      </c>
      <c r="R8" s="119">
        <f aca="true" t="shared" si="9" ref="R8:R33">Q8*P8</f>
        <v>2916.550800431373</v>
      </c>
      <c r="S8" s="120">
        <f t="shared" si="4"/>
        <v>145.82754002156864</v>
      </c>
      <c r="T8" s="121">
        <f>U8/V8</f>
        <v>0.9792794717093186</v>
      </c>
      <c r="U8" s="121">
        <f>U9*N8/N$10</f>
        <v>2.0564868905895692</v>
      </c>
      <c r="V8" s="87">
        <v>2.1</v>
      </c>
      <c r="X8" s="120">
        <f aca="true" t="shared" si="10" ref="X8:X33">S8/5</f>
        <v>29.16550800431373</v>
      </c>
      <c r="Y8" s="121">
        <f>Z8/AA8</f>
        <v>2.5568374099639852</v>
      </c>
      <c r="Z8" s="121">
        <f>Z9*N8/N$10</f>
        <v>4.346623596938775</v>
      </c>
      <c r="AA8" s="87">
        <v>1.7</v>
      </c>
      <c r="AB8" s="87"/>
      <c r="AC8" s="119">
        <f t="shared" si="5"/>
        <v>19434.832832981072</v>
      </c>
      <c r="AD8" s="119">
        <f t="shared" si="5"/>
        <v>23185.28749925765</v>
      </c>
      <c r="AE8" s="119">
        <f t="shared" si="5"/>
        <v>32693.706389891784</v>
      </c>
      <c r="AF8" s="119">
        <f t="shared" si="5"/>
        <v>39002.80432459413</v>
      </c>
      <c r="AG8" s="119">
        <f aca="true" t="shared" si="11" ref="AG8:AG33">100*AD8/AF8</f>
        <v>59.445180675476784</v>
      </c>
      <c r="AH8" s="119">
        <f aca="true" t="shared" si="12" ref="AH8:AH33">100*AC8/AE8</f>
        <v>59.44518067547679</v>
      </c>
      <c r="AI8" s="119">
        <f t="shared" si="5"/>
        <v>16775.50128621062</v>
      </c>
      <c r="AJ8" s="119">
        <f t="shared" si="5"/>
        <v>32502.336937161766</v>
      </c>
      <c r="AK8" s="125">
        <f>AK9-2*(AK$20-AK$10)/10</f>
        <v>3.7998923100588957</v>
      </c>
      <c r="AL8" s="119">
        <f aca="true" t="shared" si="13" ref="AL8:AL33">0.9*AK8*AC8</f>
        <v>66465.24464639243</v>
      </c>
      <c r="AM8" s="119">
        <f aca="true" t="shared" si="14" ref="AM8:AM33">0.9*AK8*AD8</f>
        <v>79291.43610744042</v>
      </c>
      <c r="AN8" s="126"/>
      <c r="AO8" s="119">
        <f t="shared" si="6"/>
        <v>7949.557228980351</v>
      </c>
      <c r="AP8" s="119">
        <f t="shared" si="7"/>
        <v>27186.715244497987</v>
      </c>
      <c r="AQ8" s="119">
        <f aca="true" t="shared" si="15" ref="AQ8:AQ33">0.9*AK8*AJ8</f>
        <v>111154.84216781777</v>
      </c>
      <c r="AR8" s="119">
        <f aca="true" t="shared" si="16" ref="AR8:AR33">1000*AJ8/$R8</f>
        <v>11144.1010841829</v>
      </c>
      <c r="AS8" s="100">
        <f aca="true" t="shared" si="17" ref="AS8:AS33">1000*AQ8/$R8</f>
        <v>38111.74561107504</v>
      </c>
    </row>
    <row r="9" spans="1:45" ht="15">
      <c r="A9" s="20">
        <v>1989</v>
      </c>
      <c r="B9" s="119">
        <v>220</v>
      </c>
      <c r="C9" s="119">
        <v>459.9</v>
      </c>
      <c r="D9" s="124">
        <f t="shared" si="0"/>
        <v>0.005437181933139918</v>
      </c>
      <c r="E9" s="123">
        <f t="shared" si="1"/>
        <v>7.374973326161381</v>
      </c>
      <c r="F9" s="124">
        <f t="shared" si="2"/>
        <v>0.004569189575810251</v>
      </c>
      <c r="G9" s="124">
        <f t="shared" si="3"/>
        <v>0.0019315024394256886</v>
      </c>
      <c r="H9" s="119"/>
      <c r="I9" s="120">
        <v>63.6953</v>
      </c>
      <c r="J9" s="87">
        <v>1</v>
      </c>
      <c r="K9" s="120">
        <v>15</v>
      </c>
      <c r="L9" s="121">
        <v>2.090455</v>
      </c>
      <c r="M9" s="121">
        <v>1.6</v>
      </c>
      <c r="N9" s="121">
        <v>3.171</v>
      </c>
      <c r="O9" s="121">
        <f t="shared" si="8"/>
        <v>1.9818749999999998</v>
      </c>
      <c r="P9" s="119">
        <v>5218.374508000001</v>
      </c>
      <c r="Q9" s="122">
        <v>0.5716457552053729</v>
      </c>
      <c r="R9" s="119">
        <f t="shared" si="9"/>
        <v>2983.0616365701267</v>
      </c>
      <c r="S9" s="120">
        <f t="shared" si="4"/>
        <v>149.15308182850632</v>
      </c>
      <c r="T9" s="121">
        <f>U9/V9</f>
        <v>1.2338921343537415</v>
      </c>
      <c r="U9" s="121">
        <f>U10*N9/N$10</f>
        <v>2.591173482142857</v>
      </c>
      <c r="V9" s="87">
        <v>2.1</v>
      </c>
      <c r="X9" s="120">
        <f t="shared" si="10"/>
        <v>29.830616365701264</v>
      </c>
      <c r="Y9" s="121">
        <f>Z9/AA9</f>
        <v>3.2216151365546217</v>
      </c>
      <c r="Z9" s="121">
        <f>Z10*N9/N$10</f>
        <v>5.476745732142857</v>
      </c>
      <c r="AA9" s="87">
        <v>1.7</v>
      </c>
      <c r="AB9" s="87"/>
      <c r="AC9" s="119">
        <f t="shared" si="5"/>
        <v>20653.60402646919</v>
      </c>
      <c r="AD9" s="119">
        <f t="shared" si="5"/>
        <v>24303.516574078545</v>
      </c>
      <c r="AE9" s="119">
        <f t="shared" si="5"/>
        <v>33926.09988448132</v>
      </c>
      <c r="AF9" s="119">
        <f t="shared" si="5"/>
        <v>39921.53281236754</v>
      </c>
      <c r="AG9" s="119">
        <f t="shared" si="11"/>
        <v>60.8782149931613</v>
      </c>
      <c r="AH9" s="119">
        <f t="shared" si="12"/>
        <v>60.87821499316131</v>
      </c>
      <c r="AI9" s="119">
        <f t="shared" si="5"/>
        <v>17461.758994442996</v>
      </c>
      <c r="AJ9" s="119">
        <f t="shared" si="5"/>
        <v>33267.94401030628</v>
      </c>
      <c r="AK9" s="125">
        <f>AK10-2*(AK$20-AK$10)/10</f>
        <v>3.8670333455570693</v>
      </c>
      <c r="AL9" s="119">
        <f t="shared" si="13"/>
        <v>71881.3579286593</v>
      </c>
      <c r="AM9" s="119">
        <f t="shared" si="14"/>
        <v>84584.25810563458</v>
      </c>
      <c r="AN9" s="126"/>
      <c r="AO9" s="119">
        <f t="shared" si="6"/>
        <v>8147.172112079559</v>
      </c>
      <c r="AP9" s="119">
        <f t="shared" si="7"/>
        <v>28354.84760646385</v>
      </c>
      <c r="AQ9" s="119">
        <f t="shared" si="15"/>
        <v>115783.42394338196</v>
      </c>
      <c r="AR9" s="119">
        <f t="shared" si="16"/>
        <v>11152.281804192686</v>
      </c>
      <c r="AS9" s="100">
        <f t="shared" si="17"/>
        <v>38813.62105427623</v>
      </c>
    </row>
    <row r="10" spans="1:45" ht="15">
      <c r="A10" s="20">
        <v>1990</v>
      </c>
      <c r="B10" s="119">
        <v>265</v>
      </c>
      <c r="C10" s="119">
        <v>570.2</v>
      </c>
      <c r="D10" s="124">
        <f t="shared" si="0"/>
        <v>0.006321284649152459</v>
      </c>
      <c r="E10" s="123">
        <f t="shared" si="1"/>
        <v>8.688854025927725</v>
      </c>
      <c r="F10" s="124">
        <f t="shared" si="2"/>
        <v>0.004873717322359927</v>
      </c>
      <c r="G10" s="124">
        <f t="shared" si="3"/>
        <v>0.0020602333829714495</v>
      </c>
      <c r="H10" s="119"/>
      <c r="I10" s="120">
        <v>64.9392</v>
      </c>
      <c r="J10" s="87">
        <v>1</v>
      </c>
      <c r="K10" s="120">
        <v>16</v>
      </c>
      <c r="L10" s="121">
        <v>2.151698</v>
      </c>
      <c r="M10" s="121">
        <v>1.9</v>
      </c>
      <c r="N10" s="121">
        <v>3.528</v>
      </c>
      <c r="O10" s="121">
        <f t="shared" si="8"/>
        <v>1.856842105263158</v>
      </c>
      <c r="P10" s="119">
        <v>5306.4251540000005</v>
      </c>
      <c r="Q10" s="122">
        <v>0.5747531099540689</v>
      </c>
      <c r="R10" s="119">
        <f t="shared" si="9"/>
        <v>3049.8843599999996</v>
      </c>
      <c r="S10" s="120">
        <f t="shared" si="4"/>
        <v>152.49421799999996</v>
      </c>
      <c r="T10" s="121">
        <v>1.5</v>
      </c>
      <c r="U10" s="121">
        <v>2.882895</v>
      </c>
      <c r="V10" s="121">
        <f aca="true" t="shared" si="18" ref="V10:V30">U10/T10</f>
        <v>1.92193</v>
      </c>
      <c r="X10" s="120">
        <f t="shared" si="10"/>
        <v>30.498843599999994</v>
      </c>
      <c r="Y10" s="121">
        <v>3.6</v>
      </c>
      <c r="Z10" s="121">
        <v>6.093333</v>
      </c>
      <c r="AA10" s="121">
        <f aca="true" t="shared" si="19" ref="AA10:AA30">Z10/Y10</f>
        <v>1.6925925</v>
      </c>
      <c r="AB10" s="121"/>
      <c r="AC10" s="127">
        <v>21948.805165861228</v>
      </c>
      <c r="AD10" s="127">
        <v>25475.677965408988</v>
      </c>
      <c r="AE10" s="127">
        <v>35204.94861138359</v>
      </c>
      <c r="AF10" s="127">
        <v>40861.90236028683</v>
      </c>
      <c r="AG10" s="119">
        <f t="shared" si="11"/>
        <v>62.34579521233568</v>
      </c>
      <c r="AH10" s="119">
        <f t="shared" si="12"/>
        <v>62.34579521233568</v>
      </c>
      <c r="AI10" s="127">
        <v>18176.090358065656</v>
      </c>
      <c r="AJ10" s="127">
        <v>34051.58530023903</v>
      </c>
      <c r="AK10" s="72">
        <v>3.934174381055243</v>
      </c>
      <c r="AL10" s="119">
        <f t="shared" si="13"/>
        <v>77715.3842804738</v>
      </c>
      <c r="AM10" s="119">
        <f t="shared" si="14"/>
        <v>90203.18363237304</v>
      </c>
      <c r="AN10" s="126"/>
      <c r="AO10" s="119">
        <f t="shared" si="6"/>
        <v>8352.998001999325</v>
      </c>
      <c r="AP10" s="119">
        <f t="shared" si="7"/>
        <v>29575.93567002424</v>
      </c>
      <c r="AQ10" s="119">
        <f t="shared" si="15"/>
        <v>120568.38707026592</v>
      </c>
      <c r="AR10" s="119">
        <f t="shared" si="16"/>
        <v>11164.877510385028</v>
      </c>
      <c r="AS10" s="100">
        <f t="shared" si="17"/>
        <v>39532.11756207896</v>
      </c>
    </row>
    <row r="11" spans="1:45" ht="15">
      <c r="A11" s="20">
        <v>1991</v>
      </c>
      <c r="B11" s="119">
        <v>260</v>
      </c>
      <c r="C11" s="119">
        <v>592.4</v>
      </c>
      <c r="D11" s="124">
        <f t="shared" si="0"/>
        <v>0.00620356926389475</v>
      </c>
      <c r="E11" s="123">
        <f t="shared" si="1"/>
        <v>8.341405242140798</v>
      </c>
      <c r="F11" s="124">
        <f t="shared" si="2"/>
        <v>0.004889842258308727</v>
      </c>
      <c r="G11" s="124">
        <f t="shared" si="3"/>
        <v>0.0019426537322513849</v>
      </c>
      <c r="H11" s="119"/>
      <c r="I11" s="120">
        <v>64.7445</v>
      </c>
      <c r="J11" s="87">
        <v>1</v>
      </c>
      <c r="K11" s="120">
        <v>15</v>
      </c>
      <c r="L11" s="121">
        <v>2.278462</v>
      </c>
      <c r="M11" s="121">
        <v>2</v>
      </c>
      <c r="N11" s="121">
        <v>3.698</v>
      </c>
      <c r="O11" s="121">
        <f t="shared" si="8"/>
        <v>1.849</v>
      </c>
      <c r="P11" s="119">
        <v>5392.938741</v>
      </c>
      <c r="Q11" s="122">
        <v>0.5779744498354141</v>
      </c>
      <c r="R11" s="119">
        <f t="shared" si="9"/>
        <v>3116.980801825566</v>
      </c>
      <c r="S11" s="120">
        <f t="shared" si="4"/>
        <v>155.84904009127828</v>
      </c>
      <c r="T11" s="121">
        <v>1.5</v>
      </c>
      <c r="U11" s="121">
        <v>2.996154</v>
      </c>
      <c r="V11" s="121">
        <f t="shared" si="18"/>
        <v>1.9974360000000002</v>
      </c>
      <c r="X11" s="120">
        <f t="shared" si="10"/>
        <v>31.169808018255658</v>
      </c>
      <c r="Y11" s="121">
        <v>4</v>
      </c>
      <c r="Z11" s="121">
        <v>5.951613</v>
      </c>
      <c r="AA11" s="121">
        <f t="shared" si="19"/>
        <v>1.48790325</v>
      </c>
      <c r="AB11" s="121"/>
      <c r="AC11" s="127">
        <v>23024.327762691006</v>
      </c>
      <c r="AD11" s="127">
        <v>26741.586116934115</v>
      </c>
      <c r="AE11" s="127">
        <v>35716.27388864357</v>
      </c>
      <c r="AF11" s="127">
        <v>41482.63627122451</v>
      </c>
      <c r="AG11" s="119">
        <f t="shared" si="11"/>
        <v>64.4645290672717</v>
      </c>
      <c r="AH11" s="119">
        <f t="shared" si="12"/>
        <v>64.4645290672717</v>
      </c>
      <c r="AI11" s="127">
        <v>19669.290267652068</v>
      </c>
      <c r="AJ11" s="127">
        <v>34568.86355935376</v>
      </c>
      <c r="AK11" s="125">
        <f>AK10+(AK$20-AK$10)/10</f>
        <v>3.96774489880433</v>
      </c>
      <c r="AL11" s="119">
        <f t="shared" si="13"/>
        <v>82219.19312593453</v>
      </c>
      <c r="AM11" s="119">
        <f t="shared" si="14"/>
        <v>95493.41271126182</v>
      </c>
      <c r="AN11" s="126"/>
      <c r="AO11" s="119">
        <f t="shared" si="6"/>
        <v>8579.323331498223</v>
      </c>
      <c r="AP11" s="119">
        <f t="shared" si="7"/>
        <v>30636.509745370535</v>
      </c>
      <c r="AQ11" s="119">
        <f t="shared" si="15"/>
        <v>123444.38884057991</v>
      </c>
      <c r="AR11" s="119">
        <f t="shared" si="16"/>
        <v>11090.496142647824</v>
      </c>
      <c r="AS11" s="100">
        <f t="shared" si="17"/>
        <v>39603.833545680005</v>
      </c>
    </row>
    <row r="12" spans="1:45" ht="15">
      <c r="A12" s="20">
        <v>1992</v>
      </c>
      <c r="B12" s="119">
        <v>275</v>
      </c>
      <c r="C12" s="119">
        <v>600.5</v>
      </c>
      <c r="D12" s="124">
        <f t="shared" si="0"/>
        <v>0.0059876947455927195</v>
      </c>
      <c r="E12" s="123">
        <f t="shared" si="1"/>
        <v>8.636043467263107</v>
      </c>
      <c r="F12" s="124">
        <f t="shared" si="2"/>
        <v>0.004642910397227421</v>
      </c>
      <c r="G12" s="124">
        <f t="shared" si="3"/>
        <v>0.0017616971825977702</v>
      </c>
      <c r="H12" s="119"/>
      <c r="I12" s="120">
        <v>64.2612</v>
      </c>
      <c r="J12" s="87">
        <v>1</v>
      </c>
      <c r="K12" s="120">
        <v>13</v>
      </c>
      <c r="L12" s="121">
        <v>2.183636</v>
      </c>
      <c r="M12" s="121">
        <v>2</v>
      </c>
      <c r="N12" s="121">
        <v>3.59</v>
      </c>
      <c r="O12" s="121">
        <f t="shared" si="8"/>
        <v>1.795</v>
      </c>
      <c r="P12" s="119">
        <v>5478.009489</v>
      </c>
      <c r="Q12" s="122">
        <v>0.5812930011919347</v>
      </c>
      <c r="R12" s="119">
        <f t="shared" si="9"/>
        <v>3184.3285764187067</v>
      </c>
      <c r="S12" s="120">
        <f t="shared" si="4"/>
        <v>159.21642882093533</v>
      </c>
      <c r="T12" s="121">
        <v>1.5</v>
      </c>
      <c r="U12" s="121">
        <v>2.924528</v>
      </c>
      <c r="V12" s="121">
        <f t="shared" si="18"/>
        <v>1.9496853333333333</v>
      </c>
      <c r="X12" s="120">
        <f t="shared" si="10"/>
        <v>31.843285764187065</v>
      </c>
      <c r="Y12" s="121">
        <v>3.7</v>
      </c>
      <c r="Z12" s="121">
        <v>5.548387</v>
      </c>
      <c r="AA12" s="121">
        <f t="shared" si="19"/>
        <v>1.499564054054054</v>
      </c>
      <c r="AB12" s="121"/>
      <c r="AC12" s="127">
        <v>24626.989612014142</v>
      </c>
      <c r="AD12" s="127">
        <v>27848.901117464688</v>
      </c>
      <c r="AE12" s="127">
        <v>37414.319311500614</v>
      </c>
      <c r="AF12" s="127">
        <v>42309.177666397416</v>
      </c>
      <c r="AG12" s="119">
        <f t="shared" si="11"/>
        <v>65.82236444548697</v>
      </c>
      <c r="AH12" s="119">
        <f t="shared" si="12"/>
        <v>65.82236444548695</v>
      </c>
      <c r="AI12" s="127">
        <v>19768.709889747093</v>
      </c>
      <c r="AJ12" s="127">
        <v>35257.648055331185</v>
      </c>
      <c r="AK12" s="125">
        <f aca="true" t="shared" si="20" ref="AK12:AK19">AK11+(AK$20-AK$10)/10</f>
        <v>4.001315416553417</v>
      </c>
      <c r="AL12" s="119">
        <f t="shared" si="13"/>
        <v>88686.31787806773</v>
      </c>
      <c r="AM12" s="119">
        <f t="shared" si="14"/>
        <v>100289.01363784482</v>
      </c>
      <c r="AN12" s="126"/>
      <c r="AO12" s="119">
        <f t="shared" si="6"/>
        <v>8745.611656943169</v>
      </c>
      <c r="AP12" s="119">
        <f t="shared" si="7"/>
        <v>31494.555675104377</v>
      </c>
      <c r="AQ12" s="119">
        <f t="shared" si="15"/>
        <v>126969.27364369013</v>
      </c>
      <c r="AR12" s="119">
        <f t="shared" si="16"/>
        <v>11072.239314883805</v>
      </c>
      <c r="AS12" s="100">
        <f t="shared" si="17"/>
        <v>39873.16967977207</v>
      </c>
    </row>
    <row r="13" spans="1:45" ht="15">
      <c r="A13" s="20">
        <v>1993</v>
      </c>
      <c r="B13" s="119">
        <v>192</v>
      </c>
      <c r="C13" s="119">
        <v>398.6</v>
      </c>
      <c r="D13" s="124">
        <f t="shared" si="0"/>
        <v>0.0037862858171352634</v>
      </c>
      <c r="E13" s="123">
        <f t="shared" si="1"/>
        <v>5.904935800055194</v>
      </c>
      <c r="F13" s="124">
        <f t="shared" si="2"/>
        <v>0.0035016809691598154</v>
      </c>
      <c r="G13" s="124">
        <f t="shared" si="3"/>
        <v>0.0013821500329210708</v>
      </c>
      <c r="H13" s="119"/>
      <c r="I13" s="120">
        <v>64.8621</v>
      </c>
      <c r="J13" s="87">
        <v>1</v>
      </c>
      <c r="K13" s="120">
        <v>9</v>
      </c>
      <c r="L13" s="121">
        <v>2.076042</v>
      </c>
      <c r="M13" s="121">
        <v>1.6</v>
      </c>
      <c r="N13" s="121">
        <v>2.893</v>
      </c>
      <c r="O13" s="121">
        <f t="shared" si="8"/>
        <v>1.8081249999999998</v>
      </c>
      <c r="P13" s="119">
        <v>5561.743942</v>
      </c>
      <c r="Q13" s="122">
        <v>0.5846218703923682</v>
      </c>
      <c r="R13" s="119">
        <f t="shared" si="9"/>
        <v>3251.5171460154634</v>
      </c>
      <c r="S13" s="120">
        <f t="shared" si="4"/>
        <v>162.57585730077315</v>
      </c>
      <c r="T13" s="121">
        <v>1</v>
      </c>
      <c r="U13" s="121">
        <v>2.267485</v>
      </c>
      <c r="V13" s="121">
        <f t="shared" si="18"/>
        <v>2.267485</v>
      </c>
      <c r="X13" s="120">
        <f t="shared" si="10"/>
        <v>32.51517146015463</v>
      </c>
      <c r="Y13" s="121">
        <v>3.1</v>
      </c>
      <c r="Z13" s="121">
        <v>4.475</v>
      </c>
      <c r="AA13" s="121">
        <f t="shared" si="19"/>
        <v>1.443548387096774</v>
      </c>
      <c r="AB13" s="121"/>
      <c r="AC13" s="127">
        <v>24965.738668644328</v>
      </c>
      <c r="AD13" s="127">
        <v>28990.127705424602</v>
      </c>
      <c r="AE13" s="127">
        <v>37115.25119034636</v>
      </c>
      <c r="AF13" s="127">
        <v>43098.09880283748</v>
      </c>
      <c r="AG13" s="119">
        <f t="shared" si="11"/>
        <v>67.26544444117326</v>
      </c>
      <c r="AH13" s="119">
        <f t="shared" si="12"/>
        <v>67.26544444117326</v>
      </c>
      <c r="AI13" s="127">
        <v>21326.8923718181</v>
      </c>
      <c r="AJ13" s="127">
        <v>35915.0823356979</v>
      </c>
      <c r="AK13" s="125">
        <f t="shared" si="20"/>
        <v>4.034885934302504</v>
      </c>
      <c r="AL13" s="119">
        <f t="shared" si="13"/>
        <v>90660.51701422661</v>
      </c>
      <c r="AM13" s="119">
        <f t="shared" si="14"/>
        <v>105274.67266102595</v>
      </c>
      <c r="AN13" s="126"/>
      <c r="AO13" s="119">
        <f t="shared" si="6"/>
        <v>8915.877236246544</v>
      </c>
      <c r="AP13" s="119">
        <f t="shared" si="7"/>
        <v>32377.092887249164</v>
      </c>
      <c r="AQ13" s="119">
        <f t="shared" si="15"/>
        <v>130421.93449106142</v>
      </c>
      <c r="AR13" s="119">
        <f t="shared" si="16"/>
        <v>11045.638304478774</v>
      </c>
      <c r="AS13" s="100">
        <f t="shared" si="17"/>
        <v>40111.101567120924</v>
      </c>
    </row>
    <row r="14" spans="1:45" ht="15">
      <c r="A14" s="20">
        <v>1994</v>
      </c>
      <c r="B14" s="119">
        <v>342</v>
      </c>
      <c r="C14" s="119">
        <v>765.4</v>
      </c>
      <c r="D14" s="124">
        <f t="shared" si="0"/>
        <v>0.006844675085446252</v>
      </c>
      <c r="E14" s="123">
        <f t="shared" si="1"/>
        <v>10.307220057861448</v>
      </c>
      <c r="F14" s="124">
        <f t="shared" si="2"/>
        <v>0.0048699852437561805</v>
      </c>
      <c r="G14" s="124">
        <f t="shared" si="3"/>
        <v>0.0018180933057407342</v>
      </c>
      <c r="H14" s="119"/>
      <c r="I14" s="120">
        <v>64.6852</v>
      </c>
      <c r="J14" s="87">
        <v>1</v>
      </c>
      <c r="K14" s="120">
        <v>9</v>
      </c>
      <c r="L14" s="121">
        <v>2.238012</v>
      </c>
      <c r="M14" s="121">
        <v>2.4</v>
      </c>
      <c r="N14" s="121">
        <v>4.085</v>
      </c>
      <c r="O14" s="121">
        <f t="shared" si="8"/>
        <v>1.7020833333333334</v>
      </c>
      <c r="P14" s="119">
        <v>5644.416076</v>
      </c>
      <c r="Q14" s="122">
        <v>0.5878486669041726</v>
      </c>
      <c r="R14" s="119">
        <f t="shared" si="9"/>
        <v>3318.0624657290814</v>
      </c>
      <c r="S14" s="120">
        <f t="shared" si="4"/>
        <v>165.90312328645405</v>
      </c>
      <c r="T14" s="121">
        <v>1.7</v>
      </c>
      <c r="U14" s="121">
        <v>3.28253</v>
      </c>
      <c r="V14" s="121">
        <f t="shared" si="18"/>
        <v>1.9309</v>
      </c>
      <c r="X14" s="120">
        <f t="shared" si="10"/>
        <v>33.18062465729081</v>
      </c>
      <c r="Y14" s="121">
        <v>4.5</v>
      </c>
      <c r="Z14" s="121">
        <v>6.127273</v>
      </c>
      <c r="AA14" s="121">
        <f t="shared" si="19"/>
        <v>1.3616162222222221</v>
      </c>
      <c r="AB14" s="121"/>
      <c r="AC14" s="127">
        <v>26810.07080378636</v>
      </c>
      <c r="AD14" s="127">
        <v>30539.606685924653</v>
      </c>
      <c r="AE14" s="127">
        <v>39061.81383482751</v>
      </c>
      <c r="AF14" s="127">
        <v>44495.68371844679</v>
      </c>
      <c r="AG14" s="119">
        <f t="shared" si="11"/>
        <v>68.63498688809607</v>
      </c>
      <c r="AH14" s="119">
        <f t="shared" si="12"/>
        <v>68.63498688809607</v>
      </c>
      <c r="AI14" s="127">
        <v>22466.25391431539</v>
      </c>
      <c r="AJ14" s="127">
        <v>37079.73643203899</v>
      </c>
      <c r="AK14" s="125">
        <f t="shared" si="20"/>
        <v>4.068456452051591</v>
      </c>
      <c r="AL14" s="119">
        <f t="shared" si="13"/>
        <v>98168.04498746214</v>
      </c>
      <c r="AM14" s="119">
        <f t="shared" si="14"/>
        <v>111824.15387802126</v>
      </c>
      <c r="AN14" s="126"/>
      <c r="AO14" s="119">
        <f t="shared" si="6"/>
        <v>9204.048145975501</v>
      </c>
      <c r="AP14" s="119">
        <f t="shared" si="7"/>
        <v>33701.64215803876</v>
      </c>
      <c r="AQ14" s="119">
        <f t="shared" si="15"/>
        <v>135771.56363457133</v>
      </c>
      <c r="AR14" s="119">
        <f t="shared" si="16"/>
        <v>11175.117049489128</v>
      </c>
      <c r="AS14" s="100">
        <f t="shared" si="17"/>
        <v>40918.929356183195</v>
      </c>
    </row>
    <row r="15" spans="1:45" ht="15">
      <c r="A15" s="20">
        <v>1995</v>
      </c>
      <c r="B15" s="119">
        <v>366</v>
      </c>
      <c r="C15" s="119">
        <v>885.1</v>
      </c>
      <c r="D15" s="124">
        <f t="shared" si="0"/>
        <v>0.007436051816452736</v>
      </c>
      <c r="E15" s="123">
        <f t="shared" si="1"/>
        <v>10.816638833706353</v>
      </c>
      <c r="F15" s="124">
        <f t="shared" si="2"/>
        <v>0.005156481699609554</v>
      </c>
      <c r="G15" s="124">
        <f t="shared" si="3"/>
        <v>0.0018960287910500713</v>
      </c>
      <c r="H15" s="119"/>
      <c r="I15" s="120">
        <v>63.861</v>
      </c>
      <c r="J15" s="87">
        <v>1</v>
      </c>
      <c r="K15" s="120">
        <v>12.9</v>
      </c>
      <c r="L15" s="121">
        <v>2.418306</v>
      </c>
      <c r="M15" s="121">
        <v>2.6</v>
      </c>
      <c r="N15" s="121">
        <v>4.566</v>
      </c>
      <c r="O15" s="121">
        <f t="shared" si="8"/>
        <v>1.756153846153846</v>
      </c>
      <c r="P15" s="119">
        <v>5726.239315000001</v>
      </c>
      <c r="Q15" s="122">
        <v>0.590907173253551</v>
      </c>
      <c r="R15" s="119">
        <f t="shared" si="9"/>
        <v>3383.675887000001</v>
      </c>
      <c r="S15" s="120">
        <f t="shared" si="4"/>
        <v>169.18379435000003</v>
      </c>
      <c r="T15" s="121">
        <v>2</v>
      </c>
      <c r="U15" s="121">
        <v>3.627811</v>
      </c>
      <c r="V15" s="121">
        <f t="shared" si="18"/>
        <v>1.8139055</v>
      </c>
      <c r="X15" s="120">
        <f t="shared" si="10"/>
        <v>33.836758870000004</v>
      </c>
      <c r="Y15" s="121">
        <v>4.7</v>
      </c>
      <c r="Z15" s="121">
        <v>6.669697</v>
      </c>
      <c r="AA15" s="121">
        <f t="shared" si="19"/>
        <v>1.4190844680851065</v>
      </c>
      <c r="AB15" s="121"/>
      <c r="AC15" s="127">
        <v>29749.938226446924</v>
      </c>
      <c r="AD15" s="127">
        <v>32241.030355744297</v>
      </c>
      <c r="AE15" s="127">
        <v>42359.67372877068</v>
      </c>
      <c r="AF15" s="127">
        <v>45906.63402906264</v>
      </c>
      <c r="AG15" s="119">
        <f t="shared" si="11"/>
        <v>70.23174544954243</v>
      </c>
      <c r="AH15" s="119">
        <f t="shared" si="12"/>
        <v>70.23174544954243</v>
      </c>
      <c r="AI15" s="127">
        <v>22210.732877003033</v>
      </c>
      <c r="AJ15" s="127">
        <v>38255.528357552204</v>
      </c>
      <c r="AK15" s="125">
        <f t="shared" si="20"/>
        <v>4.102026969800678</v>
      </c>
      <c r="AL15" s="119">
        <f t="shared" si="13"/>
        <v>109831.5440593105</v>
      </c>
      <c r="AM15" s="119">
        <f t="shared" si="14"/>
        <v>119028.21844808292</v>
      </c>
      <c r="AN15" s="126"/>
      <c r="AO15" s="119">
        <f t="shared" si="6"/>
        <v>9528.403852039593</v>
      </c>
      <c r="AP15" s="119">
        <f t="shared" si="7"/>
        <v>35177.19262219718</v>
      </c>
      <c r="AQ15" s="119">
        <f t="shared" si="15"/>
        <v>141232.6881599884</v>
      </c>
      <c r="AR15" s="119">
        <f t="shared" si="16"/>
        <v>11305.908022848465</v>
      </c>
      <c r="AS15" s="100">
        <f t="shared" si="17"/>
        <v>41739.42566502924</v>
      </c>
    </row>
    <row r="16" spans="1:45" ht="15">
      <c r="A16" s="20">
        <v>1996</v>
      </c>
      <c r="B16" s="119">
        <v>422</v>
      </c>
      <c r="C16" s="119">
        <v>1048.5</v>
      </c>
      <c r="D16" s="124">
        <f t="shared" si="0"/>
        <v>0.00826963976616132</v>
      </c>
      <c r="E16" s="123">
        <f t="shared" si="1"/>
        <v>12.238496215501863</v>
      </c>
      <c r="F16" s="124">
        <f t="shared" si="2"/>
        <v>0.005473163713495466</v>
      </c>
      <c r="G16" s="124">
        <f t="shared" si="3"/>
        <v>0.0021188761127282855</v>
      </c>
      <c r="H16" s="119"/>
      <c r="I16" s="120">
        <v>65.0147</v>
      </c>
      <c r="J16" s="87">
        <v>1</v>
      </c>
      <c r="K16" s="120">
        <v>18.5</v>
      </c>
      <c r="L16" s="121">
        <v>2.484597</v>
      </c>
      <c r="M16" s="121">
        <v>3</v>
      </c>
      <c r="N16" s="121">
        <v>5.126</v>
      </c>
      <c r="O16" s="121">
        <f t="shared" si="8"/>
        <v>1.7086666666666668</v>
      </c>
      <c r="P16" s="119">
        <v>5807.2118310000005</v>
      </c>
      <c r="Q16" s="122">
        <v>0.5937679131522261</v>
      </c>
      <c r="R16" s="119">
        <f t="shared" si="9"/>
        <v>3448.136050125788</v>
      </c>
      <c r="S16" s="120">
        <f t="shared" si="4"/>
        <v>172.40680250628938</v>
      </c>
      <c r="T16" s="121">
        <v>2.1</v>
      </c>
      <c r="U16" s="121">
        <v>4.025</v>
      </c>
      <c r="V16" s="121">
        <f t="shared" si="18"/>
        <v>1.9166666666666667</v>
      </c>
      <c r="X16" s="120">
        <f t="shared" si="10"/>
        <v>34.481360501257875</v>
      </c>
      <c r="Y16" s="121">
        <v>5</v>
      </c>
      <c r="Z16" s="121">
        <v>7.791176</v>
      </c>
      <c r="AA16" s="121">
        <f t="shared" si="19"/>
        <v>1.5582352</v>
      </c>
      <c r="AB16" s="121"/>
      <c r="AC16" s="127">
        <v>30356.725410070692</v>
      </c>
      <c r="AD16" s="127">
        <v>34064.42565479343</v>
      </c>
      <c r="AE16" s="127">
        <v>42471.59593948524</v>
      </c>
      <c r="AF16" s="127">
        <v>47658.97845625545</v>
      </c>
      <c r="AG16" s="119">
        <f t="shared" si="11"/>
        <v>71.47535838616433</v>
      </c>
      <c r="AH16" s="119">
        <f t="shared" si="12"/>
        <v>71.47535838616433</v>
      </c>
      <c r="AI16" s="127">
        <v>23513.739637697498</v>
      </c>
      <c r="AJ16" s="127">
        <v>39715.81538021287</v>
      </c>
      <c r="AK16" s="125">
        <f t="shared" si="20"/>
        <v>4.135597487549766</v>
      </c>
      <c r="AL16" s="119">
        <f t="shared" si="13"/>
        <v>112988.87760251384</v>
      </c>
      <c r="AM16" s="119">
        <f t="shared" si="14"/>
        <v>126789.07783751053</v>
      </c>
      <c r="AN16" s="126"/>
      <c r="AO16" s="119">
        <f t="shared" si="6"/>
        <v>9879.083991929714</v>
      </c>
      <c r="AP16" s="119">
        <f t="shared" si="7"/>
        <v>36770.32344268587</v>
      </c>
      <c r="AQ16" s="119">
        <f t="shared" si="15"/>
        <v>147823.76367215882</v>
      </c>
      <c r="AR16" s="119">
        <f t="shared" si="16"/>
        <v>11518.05346507834</v>
      </c>
      <c r="AS16" s="100">
        <f t="shared" si="17"/>
        <v>42870.62967447766</v>
      </c>
    </row>
    <row r="17" spans="1:45" ht="15">
      <c r="A17" s="20">
        <v>1997</v>
      </c>
      <c r="B17" s="119">
        <v>323</v>
      </c>
      <c r="C17" s="119">
        <v>1205.287</v>
      </c>
      <c r="D17" s="124">
        <f t="shared" si="0"/>
        <v>0.008888874715555694</v>
      </c>
      <c r="E17" s="123">
        <f t="shared" si="1"/>
        <v>9.197897641151645</v>
      </c>
      <c r="F17" s="124">
        <f t="shared" si="2"/>
        <v>0.006910857475223493</v>
      </c>
      <c r="G17" s="124">
        <f t="shared" si="3"/>
        <v>0.0033697314591547064</v>
      </c>
      <c r="H17" s="119"/>
      <c r="I17" s="119">
        <v>62.4938</v>
      </c>
      <c r="J17" s="87">
        <v>1</v>
      </c>
      <c r="K17" s="120">
        <v>38</v>
      </c>
      <c r="L17" s="121">
        <v>3.731538</v>
      </c>
      <c r="M17" s="121">
        <v>3.1</v>
      </c>
      <c r="N17" s="121">
        <v>7.525</v>
      </c>
      <c r="O17" s="121">
        <f t="shared" si="8"/>
        <v>2.4274193548387095</v>
      </c>
      <c r="P17" s="119">
        <v>5887.259665</v>
      </c>
      <c r="Q17" s="122">
        <v>0.5964866920664638</v>
      </c>
      <c r="R17" s="119">
        <f t="shared" si="9"/>
        <v>3511.6720429121674</v>
      </c>
      <c r="S17" s="120">
        <f t="shared" si="4"/>
        <v>175.58360214560835</v>
      </c>
      <c r="T17" s="121">
        <v>1.9</v>
      </c>
      <c r="U17" s="121">
        <v>5.336932</v>
      </c>
      <c r="V17" s="121">
        <v>2.4</v>
      </c>
      <c r="X17" s="120">
        <f t="shared" si="10"/>
        <v>35.11672042912167</v>
      </c>
      <c r="Y17" s="121">
        <v>7</v>
      </c>
      <c r="Z17" s="121">
        <v>13.01143</v>
      </c>
      <c r="AA17" s="121">
        <f t="shared" si="19"/>
        <v>1.8587757142857144</v>
      </c>
      <c r="AB17" s="121"/>
      <c r="AC17" s="127">
        <v>30296.7427389922</v>
      </c>
      <c r="AD17" s="127">
        <v>36136.97386089056</v>
      </c>
      <c r="AE17" s="127">
        <v>41585.993539610696</v>
      </c>
      <c r="AF17" s="127">
        <v>49602.426718498944</v>
      </c>
      <c r="AG17" s="119">
        <f t="shared" si="11"/>
        <v>72.8532377376881</v>
      </c>
      <c r="AH17" s="119">
        <f t="shared" si="12"/>
        <v>72.8532377376881</v>
      </c>
      <c r="AI17" s="127">
        <v>26909.608358048357</v>
      </c>
      <c r="AJ17" s="127">
        <v>41335.35559874911</v>
      </c>
      <c r="AK17" s="125">
        <f t="shared" si="20"/>
        <v>4.169168005298853</v>
      </c>
      <c r="AL17" s="119">
        <f t="shared" si="13"/>
        <v>113680.98944295896</v>
      </c>
      <c r="AM17" s="119">
        <f t="shared" si="14"/>
        <v>135595.0037062313</v>
      </c>
      <c r="AN17" s="126"/>
      <c r="AO17" s="119">
        <f t="shared" si="6"/>
        <v>10290.532093914671</v>
      </c>
      <c r="AP17" s="119">
        <f t="shared" si="7"/>
        <v>38612.661447105056</v>
      </c>
      <c r="AQ17" s="119">
        <f t="shared" si="15"/>
        <v>155100.63784496006</v>
      </c>
      <c r="AR17" s="119">
        <f t="shared" si="16"/>
        <v>11770.847360925663</v>
      </c>
      <c r="AS17" s="100">
        <f t="shared" si="17"/>
        <v>44167.17619118494</v>
      </c>
    </row>
    <row r="18" spans="1:45" ht="15">
      <c r="A18" s="20">
        <v>1998</v>
      </c>
      <c r="B18" s="119">
        <v>308</v>
      </c>
      <c r="C18" s="119">
        <v>1289.373</v>
      </c>
      <c r="D18" s="124">
        <f t="shared" si="0"/>
        <v>0.009045700126396593</v>
      </c>
      <c r="E18" s="123">
        <f t="shared" si="1"/>
        <v>8.615344795900752</v>
      </c>
      <c r="F18" s="124">
        <f t="shared" si="2"/>
        <v>0.0071375237972139335</v>
      </c>
      <c r="G18" s="124">
        <f t="shared" si="3"/>
        <v>0.0035836900004974715</v>
      </c>
      <c r="H18" s="119"/>
      <c r="I18" s="119">
        <v>63.6036</v>
      </c>
      <c r="J18" s="87">
        <v>1</v>
      </c>
      <c r="K18" s="120">
        <v>51</v>
      </c>
      <c r="L18" s="121">
        <v>4.186277</v>
      </c>
      <c r="M18" s="121">
        <v>3.5</v>
      </c>
      <c r="N18" s="121">
        <v>8.155</v>
      </c>
      <c r="O18" s="121">
        <f t="shared" si="8"/>
        <v>2.3299999999999996</v>
      </c>
      <c r="P18" s="119">
        <v>5966.464736</v>
      </c>
      <c r="Q18" s="122">
        <v>0.5991850587524393</v>
      </c>
      <c r="R18" s="119">
        <f t="shared" si="9"/>
        <v>3575.0165233845173</v>
      </c>
      <c r="S18" s="120">
        <f t="shared" si="4"/>
        <v>178.75082616922586</v>
      </c>
      <c r="T18" s="121">
        <v>2</v>
      </c>
      <c r="U18" s="121">
        <v>5.69162</v>
      </c>
      <c r="V18" s="121">
        <v>2.5</v>
      </c>
      <c r="X18" s="120">
        <f t="shared" si="10"/>
        <v>35.75016523384517</v>
      </c>
      <c r="Y18" s="121">
        <v>6.6</v>
      </c>
      <c r="Z18" s="121">
        <v>14.28857</v>
      </c>
      <c r="AA18" s="121">
        <f t="shared" si="19"/>
        <v>2.1649348484848487</v>
      </c>
      <c r="AB18" s="121"/>
      <c r="AC18" s="127">
        <v>30190.796693535834</v>
      </c>
      <c r="AD18" s="127">
        <v>37684.391327738034</v>
      </c>
      <c r="AE18" s="127">
        <v>40866.45807522017</v>
      </c>
      <c r="AF18" s="127">
        <v>51009.83633912957</v>
      </c>
      <c r="AG18" s="119">
        <f t="shared" si="11"/>
        <v>73.87671483045006</v>
      </c>
      <c r="AH18" s="119">
        <f t="shared" si="12"/>
        <v>73.87671483045006</v>
      </c>
      <c r="AI18" s="127">
        <v>27157.843607503626</v>
      </c>
      <c r="AJ18" s="127">
        <v>42508.19694927464</v>
      </c>
      <c r="AK18" s="125">
        <f t="shared" si="20"/>
        <v>4.20273852304794</v>
      </c>
      <c r="AL18" s="119">
        <f t="shared" si="13"/>
        <v>114195.6218748883</v>
      </c>
      <c r="AM18" s="119">
        <f t="shared" si="14"/>
        <v>142539.87883562854</v>
      </c>
      <c r="AN18" s="126"/>
      <c r="AO18" s="119">
        <f t="shared" si="6"/>
        <v>10541.039763380366</v>
      </c>
      <c r="AP18" s="119">
        <f t="shared" si="7"/>
        <v>39871.11049788494</v>
      </c>
      <c r="AQ18" s="119">
        <f t="shared" si="15"/>
        <v>160785.75317762294</v>
      </c>
      <c r="AR18" s="119">
        <f t="shared" si="16"/>
        <v>11890.349784742128</v>
      </c>
      <c r="AS18" s="100">
        <f t="shared" si="17"/>
        <v>44974.827983565476</v>
      </c>
    </row>
    <row r="19" spans="1:45" ht="15">
      <c r="A19" s="20">
        <v>1999</v>
      </c>
      <c r="B19" s="119">
        <v>336</v>
      </c>
      <c r="C19" s="119">
        <v>1351.46</v>
      </c>
      <c r="D19" s="124">
        <f t="shared" si="0"/>
        <v>0.008958860930931359</v>
      </c>
      <c r="E19" s="123">
        <f t="shared" si="1"/>
        <v>9.232810526387384</v>
      </c>
      <c r="F19" s="124">
        <f t="shared" si="2"/>
        <v>0.007241270769184215</v>
      </c>
      <c r="G19" s="124">
        <f t="shared" si="3"/>
        <v>0.003453127614719653</v>
      </c>
      <c r="H19" s="119"/>
      <c r="I19" s="119">
        <v>62.1463</v>
      </c>
      <c r="J19" s="87">
        <v>1</v>
      </c>
      <c r="K19" s="120">
        <v>90</v>
      </c>
      <c r="L19" s="121">
        <v>4.022202</v>
      </c>
      <c r="M19" s="121">
        <v>4.1</v>
      </c>
      <c r="N19" s="121">
        <v>8.425</v>
      </c>
      <c r="O19" s="121">
        <f t="shared" si="8"/>
        <v>2.054878048780488</v>
      </c>
      <c r="P19" s="119">
        <v>6044.931358</v>
      </c>
      <c r="Q19" s="122">
        <v>0.602024243376421</v>
      </c>
      <c r="R19" s="119">
        <f t="shared" si="9"/>
        <v>3639.195227062351</v>
      </c>
      <c r="S19" s="120">
        <f t="shared" si="4"/>
        <v>181.95976135311753</v>
      </c>
      <c r="T19" s="121">
        <v>2.2</v>
      </c>
      <c r="U19" s="121">
        <v>6.003297</v>
      </c>
      <c r="V19" s="121">
        <f t="shared" si="18"/>
        <v>2.7287713636363633</v>
      </c>
      <c r="X19" s="120">
        <f t="shared" si="10"/>
        <v>36.391952270623506</v>
      </c>
      <c r="Y19" s="121">
        <v>7.1</v>
      </c>
      <c r="Z19" s="121">
        <v>14.31389</v>
      </c>
      <c r="AA19" s="121">
        <f t="shared" si="19"/>
        <v>2.016040845070423</v>
      </c>
      <c r="AB19" s="121"/>
      <c r="AC19" s="127">
        <v>31317.27567432612</v>
      </c>
      <c r="AD19" s="127">
        <v>39565.827850303365</v>
      </c>
      <c r="AE19" s="127">
        <v>41778.66906815135</v>
      </c>
      <c r="AF19" s="127">
        <v>52782.612554016145</v>
      </c>
      <c r="AG19" s="119">
        <f t="shared" si="11"/>
        <v>74.95996491233336</v>
      </c>
      <c r="AH19" s="119">
        <f t="shared" si="12"/>
        <v>74.95996491233336</v>
      </c>
      <c r="AI19" s="127">
        <v>29395.2405143657</v>
      </c>
      <c r="AJ19" s="127">
        <v>43985.510461680125</v>
      </c>
      <c r="AK19" s="125">
        <f t="shared" si="20"/>
        <v>4.236309040797027</v>
      </c>
      <c r="AL19" s="119">
        <f t="shared" si="13"/>
        <v>119402.69226505251</v>
      </c>
      <c r="AM19" s="119">
        <f t="shared" si="14"/>
        <v>150851.76680597305</v>
      </c>
      <c r="AN19" s="126"/>
      <c r="AO19" s="119">
        <f t="shared" si="6"/>
        <v>10872.136662545001</v>
      </c>
      <c r="AP19" s="119">
        <f t="shared" si="7"/>
        <v>41451.957752688184</v>
      </c>
      <c r="AQ19" s="119">
        <f t="shared" si="15"/>
        <v>167702.59406959897</v>
      </c>
      <c r="AR19" s="119">
        <f t="shared" si="16"/>
        <v>12086.60369045008</v>
      </c>
      <c r="AS19" s="100">
        <f t="shared" si="17"/>
        <v>46082.32963774595</v>
      </c>
    </row>
    <row r="20" spans="1:45" ht="15">
      <c r="A20" s="20">
        <v>2000</v>
      </c>
      <c r="B20" s="119">
        <v>360</v>
      </c>
      <c r="C20" s="119">
        <v>1473.28</v>
      </c>
      <c r="D20" s="124">
        <f t="shared" si="0"/>
        <v>0.009024964508230418</v>
      </c>
      <c r="E20" s="123">
        <f t="shared" si="1"/>
        <v>9.716675832694882</v>
      </c>
      <c r="F20" s="124">
        <f t="shared" si="2"/>
        <v>0.007228910377079352</v>
      </c>
      <c r="G20" s="124">
        <f t="shared" si="3"/>
        <v>0.0033957780027383962</v>
      </c>
      <c r="H20" s="119"/>
      <c r="I20" s="119">
        <v>61.2007</v>
      </c>
      <c r="J20" s="87">
        <v>1</v>
      </c>
      <c r="K20" s="120">
        <v>60</v>
      </c>
      <c r="L20" s="121">
        <v>4.092444</v>
      </c>
      <c r="M20" s="121">
        <v>4.3</v>
      </c>
      <c r="N20" s="121">
        <v>8.949</v>
      </c>
      <c r="O20" s="121">
        <f t="shared" si="8"/>
        <v>2.0811627906976744</v>
      </c>
      <c r="P20" s="119">
        <v>6122.770219999999</v>
      </c>
      <c r="Q20" s="122">
        <v>0.6051134768862844</v>
      </c>
      <c r="R20" s="119">
        <f t="shared" si="9"/>
        <v>3704.9707759999997</v>
      </c>
      <c r="S20" s="120">
        <f t="shared" si="4"/>
        <v>185.24853879999998</v>
      </c>
      <c r="T20" s="121">
        <v>2.3</v>
      </c>
      <c r="U20" s="121">
        <v>6.37027</v>
      </c>
      <c r="V20" s="121">
        <f t="shared" si="18"/>
        <v>2.769682608695652</v>
      </c>
      <c r="X20" s="120">
        <f t="shared" si="10"/>
        <v>37.04970776</v>
      </c>
      <c r="Y20" s="121">
        <v>7.4</v>
      </c>
      <c r="Z20" s="121">
        <v>14.96216</v>
      </c>
      <c r="AA20" s="121">
        <f t="shared" si="19"/>
        <v>2.0219135135135136</v>
      </c>
      <c r="AB20" s="121"/>
      <c r="AC20" s="127">
        <v>32330.868814635774</v>
      </c>
      <c r="AD20" s="127">
        <v>42479.721050012355</v>
      </c>
      <c r="AE20" s="127">
        <v>42217.379344108806</v>
      </c>
      <c r="AF20" s="127">
        <v>55469.66610400691</v>
      </c>
      <c r="AG20" s="119">
        <f t="shared" si="11"/>
        <v>76.58189427418202</v>
      </c>
      <c r="AH20" s="119">
        <f t="shared" si="12"/>
        <v>76.58189427418205</v>
      </c>
      <c r="AI20" s="127">
        <v>35091.92501140566</v>
      </c>
      <c r="AJ20" s="127">
        <v>46224.72175333908</v>
      </c>
      <c r="AK20" s="72">
        <v>4.269879558546112</v>
      </c>
      <c r="AL20" s="119">
        <f t="shared" si="13"/>
        <v>124244.02427548433</v>
      </c>
      <c r="AM20" s="119">
        <f t="shared" si="14"/>
        <v>163244.96330776988</v>
      </c>
      <c r="AN20" s="126"/>
      <c r="AO20" s="119">
        <f t="shared" si="6"/>
        <v>11465.602191840975</v>
      </c>
      <c r="AP20" s="119">
        <f t="shared" si="7"/>
        <v>44061.06638282696</v>
      </c>
      <c r="AQ20" s="119">
        <f t="shared" si="15"/>
        <v>177636.5950626579</v>
      </c>
      <c r="AR20" s="119">
        <f t="shared" si="16"/>
        <v>12476.406575936535</v>
      </c>
      <c r="AS20" s="100">
        <f t="shared" si="17"/>
        <v>47945.478062431524</v>
      </c>
    </row>
    <row r="21" spans="1:45" ht="15">
      <c r="A21" s="20">
        <v>2001</v>
      </c>
      <c r="B21" s="119">
        <v>538</v>
      </c>
      <c r="C21" s="119">
        <v>1728.6</v>
      </c>
      <c r="D21" s="124">
        <f t="shared" si="0"/>
        <v>0.009951348219550788</v>
      </c>
      <c r="E21" s="123">
        <f t="shared" si="1"/>
        <v>14.261182722374208</v>
      </c>
      <c r="F21" s="124">
        <f t="shared" si="2"/>
        <v>0.006901982388990543</v>
      </c>
      <c r="G21" s="124">
        <f t="shared" si="3"/>
        <v>0.0034454873823627085</v>
      </c>
      <c r="H21" s="119"/>
      <c r="I21" s="119">
        <v>62.0508</v>
      </c>
      <c r="J21" s="87">
        <v>1</v>
      </c>
      <c r="K21" s="120">
        <v>58.7</v>
      </c>
      <c r="L21" s="121">
        <v>3.213011</v>
      </c>
      <c r="M21" s="121">
        <v>4</v>
      </c>
      <c r="N21" s="121">
        <v>9.202</v>
      </c>
      <c r="O21" s="121">
        <f t="shared" si="8"/>
        <v>2.3005</v>
      </c>
      <c r="P21" s="119">
        <v>6200.0027580000005</v>
      </c>
      <c r="Q21" s="122">
        <v>0.6084639446610903</v>
      </c>
      <c r="R21" s="119">
        <f t="shared" si="9"/>
        <v>3772.4781350423195</v>
      </c>
      <c r="S21" s="120">
        <f t="shared" si="4"/>
        <v>188.62390675211597</v>
      </c>
      <c r="T21" s="121">
        <v>2.5</v>
      </c>
      <c r="U21" s="121">
        <v>6.356085</v>
      </c>
      <c r="V21" s="121">
        <f t="shared" si="18"/>
        <v>2.542434</v>
      </c>
      <c r="X21" s="120">
        <f t="shared" si="10"/>
        <v>37.72478135042319</v>
      </c>
      <c r="Y21" s="121">
        <v>8.3</v>
      </c>
      <c r="Z21" s="121">
        <v>15.86487</v>
      </c>
      <c r="AA21" s="121">
        <f t="shared" si="19"/>
        <v>1.9114301204819275</v>
      </c>
      <c r="AB21" s="121"/>
      <c r="AC21" s="127">
        <v>32136.424733754546</v>
      </c>
      <c r="AD21" s="127">
        <v>44510.89408354377</v>
      </c>
      <c r="AE21" s="127">
        <v>41033.21400727081</v>
      </c>
      <c r="AF21" s="127">
        <v>56833.48591875644</v>
      </c>
      <c r="AG21" s="119">
        <f t="shared" si="11"/>
        <v>78.31807844264938</v>
      </c>
      <c r="AH21" s="119">
        <f t="shared" si="12"/>
        <v>78.31807844264937</v>
      </c>
      <c r="AI21" s="127">
        <v>35912.776004218045</v>
      </c>
      <c r="AJ21" s="127">
        <v>47361.238265630374</v>
      </c>
      <c r="AK21" s="125">
        <f>AK20+(AK$28-AK$20)/8</f>
        <v>4.336144613727848</v>
      </c>
      <c r="AL21" s="119">
        <f t="shared" si="13"/>
        <v>125413.36651236615</v>
      </c>
      <c r="AM21" s="119">
        <f t="shared" si="14"/>
        <v>173705.10626931215</v>
      </c>
      <c r="AN21" s="126"/>
      <c r="AO21" s="119">
        <f t="shared" si="6"/>
        <v>11798.847465830162</v>
      </c>
      <c r="AP21" s="119">
        <f t="shared" si="7"/>
        <v>46045.35799844033</v>
      </c>
      <c r="AQ21" s="119">
        <f t="shared" si="15"/>
        <v>184828.66038449496</v>
      </c>
      <c r="AR21" s="119">
        <f t="shared" si="16"/>
        <v>12554.41027628357</v>
      </c>
      <c r="AS21" s="100">
        <f t="shared" si="17"/>
        <v>48993.9646482329</v>
      </c>
    </row>
    <row r="22" spans="1:45" ht="15">
      <c r="A22" s="20">
        <v>2002</v>
      </c>
      <c r="B22" s="119">
        <v>497</v>
      </c>
      <c r="C22" s="119">
        <v>1544.2</v>
      </c>
      <c r="D22" s="124">
        <f t="shared" si="0"/>
        <v>0.008362810845218897</v>
      </c>
      <c r="E22" s="123">
        <f t="shared" si="1"/>
        <v>12.937480682023406</v>
      </c>
      <c r="F22" s="124">
        <f t="shared" si="2"/>
        <v>0.00601323275655</v>
      </c>
      <c r="G22" s="124">
        <f t="shared" si="3"/>
        <v>0.0030587953984154846</v>
      </c>
      <c r="H22" s="119"/>
      <c r="I22" s="120">
        <v>63.2296</v>
      </c>
      <c r="J22" s="87">
        <v>1</v>
      </c>
      <c r="K22" s="120">
        <v>52.8</v>
      </c>
      <c r="L22" s="121">
        <v>3.107042</v>
      </c>
      <c r="M22" s="121">
        <v>3.8</v>
      </c>
      <c r="N22" s="121">
        <v>8.521</v>
      </c>
      <c r="O22" s="121">
        <f t="shared" si="8"/>
        <v>2.242368421052632</v>
      </c>
      <c r="P22" s="119">
        <v>6276.721836</v>
      </c>
      <c r="Q22" s="122">
        <v>0.6120315238127902</v>
      </c>
      <c r="R22" s="119">
        <f t="shared" si="9"/>
        <v>3841.5516298360944</v>
      </c>
      <c r="S22" s="120">
        <f t="shared" si="4"/>
        <v>192.0775814918047</v>
      </c>
      <c r="T22" s="121">
        <v>2.2</v>
      </c>
      <c r="U22" s="121">
        <v>5.780729</v>
      </c>
      <c r="V22" s="121">
        <f t="shared" si="18"/>
        <v>2.6276040909090908</v>
      </c>
      <c r="X22" s="120">
        <f t="shared" si="10"/>
        <v>38.41551629836094</v>
      </c>
      <c r="Y22" s="121">
        <v>6.7</v>
      </c>
      <c r="Z22" s="121">
        <v>14.70263</v>
      </c>
      <c r="AA22" s="121">
        <f t="shared" si="19"/>
        <v>2.194422388059701</v>
      </c>
      <c r="AB22" s="121"/>
      <c r="AC22" s="127">
        <v>33393.49628114336</v>
      </c>
      <c r="AD22" s="127">
        <v>46603.476082745154</v>
      </c>
      <c r="AE22" s="127">
        <v>41956.96646537936</v>
      </c>
      <c r="AF22" s="127">
        <v>58554.53010106009</v>
      </c>
      <c r="AG22" s="119">
        <f t="shared" si="11"/>
        <v>79.58987289678794</v>
      </c>
      <c r="AH22" s="119">
        <f t="shared" si="12"/>
        <v>79.58987289678791</v>
      </c>
      <c r="AI22" s="127">
        <v>35482.25947352887</v>
      </c>
      <c r="AJ22" s="127">
        <v>48795.441750883416</v>
      </c>
      <c r="AK22" s="125">
        <f aca="true" t="shared" si="21" ref="AK22:AK27">AK21+(AK$28-AK$20)/8</f>
        <v>4.402409668909584</v>
      </c>
      <c r="AL22" s="119">
        <f t="shared" si="13"/>
        <v>132310.6658161216</v>
      </c>
      <c r="AM22" s="119">
        <f t="shared" si="14"/>
        <v>184650.83434032646</v>
      </c>
      <c r="AN22" s="126"/>
      <c r="AO22" s="119">
        <f t="shared" si="6"/>
        <v>12131.419950415599</v>
      </c>
      <c r="AP22" s="119">
        <f t="shared" si="7"/>
        <v>48066.732438581035</v>
      </c>
      <c r="AQ22" s="119">
        <f t="shared" si="15"/>
        <v>193335.77210652322</v>
      </c>
      <c r="AR22" s="119">
        <f t="shared" si="16"/>
        <v>12702.013783155986</v>
      </c>
      <c r="AS22" s="100">
        <f t="shared" si="17"/>
        <v>50327.52146422985</v>
      </c>
    </row>
    <row r="23" spans="1:45" ht="15">
      <c r="A23" s="20">
        <v>2003</v>
      </c>
      <c r="B23" s="119">
        <v>476</v>
      </c>
      <c r="C23" s="119">
        <v>1403.3</v>
      </c>
      <c r="D23" s="124">
        <f t="shared" si="0"/>
        <v>0.007085878928087626</v>
      </c>
      <c r="E23" s="123">
        <f t="shared" si="1"/>
        <v>12.166855696778153</v>
      </c>
      <c r="F23" s="124">
        <f t="shared" si="2"/>
        <v>0.005149340419335314</v>
      </c>
      <c r="G23" s="124">
        <f t="shared" si="3"/>
        <v>0.0025017627918206484</v>
      </c>
      <c r="H23" s="119"/>
      <c r="I23" s="120">
        <v>63.6996</v>
      </c>
      <c r="J23" s="87">
        <v>1</v>
      </c>
      <c r="K23" s="120">
        <v>40.7</v>
      </c>
      <c r="L23" s="121">
        <v>2.948109</v>
      </c>
      <c r="M23" s="121">
        <v>3.4</v>
      </c>
      <c r="N23" s="121">
        <v>7.746</v>
      </c>
      <c r="O23" s="121">
        <f t="shared" si="8"/>
        <v>2.278235294117647</v>
      </c>
      <c r="P23" s="119">
        <v>6353.1955880000005</v>
      </c>
      <c r="Q23" s="122">
        <v>0.6157953000368463</v>
      </c>
      <c r="R23" s="119">
        <f t="shared" si="9"/>
        <v>3912.267983305229</v>
      </c>
      <c r="S23" s="120">
        <f t="shared" si="4"/>
        <v>195.61339916526143</v>
      </c>
      <c r="T23" s="121">
        <v>2.1</v>
      </c>
      <c r="U23" s="121">
        <v>5.213265</v>
      </c>
      <c r="V23" s="121">
        <f t="shared" si="18"/>
        <v>2.4825071428571426</v>
      </c>
      <c r="X23" s="120">
        <f t="shared" si="10"/>
        <v>39.12267983305229</v>
      </c>
      <c r="Y23" s="121">
        <v>6.9</v>
      </c>
      <c r="Z23" s="121">
        <v>12.6641</v>
      </c>
      <c r="AA23" s="121">
        <f t="shared" si="19"/>
        <v>1.8353768115942026</v>
      </c>
      <c r="AB23" s="121"/>
      <c r="AC23" s="127">
        <v>37564.83397909512</v>
      </c>
      <c r="AD23" s="127">
        <v>49241.98424035304</v>
      </c>
      <c r="AE23" s="127">
        <v>46224.30535909992</v>
      </c>
      <c r="AF23" s="127">
        <v>60593.28033449476</v>
      </c>
      <c r="AG23" s="119">
        <f t="shared" si="11"/>
        <v>81.26641100881345</v>
      </c>
      <c r="AH23" s="119">
        <f t="shared" si="12"/>
        <v>81.26641100881345</v>
      </c>
      <c r="AI23" s="127">
        <v>33283.720109833564</v>
      </c>
      <c r="AJ23" s="127">
        <v>50494.40027874564</v>
      </c>
      <c r="AK23" s="125">
        <f t="shared" si="21"/>
        <v>4.46867472409132</v>
      </c>
      <c r="AL23" s="119">
        <f t="shared" si="13"/>
        <v>151078.52170536225</v>
      </c>
      <c r="AM23" s="119">
        <f t="shared" si="14"/>
        <v>198041.7693050719</v>
      </c>
      <c r="AN23" s="126"/>
      <c r="AO23" s="119">
        <f t="shared" si="6"/>
        <v>12586.557068810913</v>
      </c>
      <c r="AP23" s="119">
        <f t="shared" si="7"/>
        <v>50620.70649305544</v>
      </c>
      <c r="AQ23" s="119">
        <f t="shared" si="15"/>
        <v>203078.74521040235</v>
      </c>
      <c r="AR23" s="119">
        <f t="shared" si="16"/>
        <v>12906.68238837926</v>
      </c>
      <c r="AS23" s="100">
        <f t="shared" si="17"/>
        <v>51908.188824742494</v>
      </c>
    </row>
    <row r="24" spans="1:45" ht="15">
      <c r="A24" s="20">
        <v>2004</v>
      </c>
      <c r="B24" s="119">
        <v>587</v>
      </c>
      <c r="C24" s="119">
        <v>1917.2</v>
      </c>
      <c r="D24" s="124">
        <f t="shared" si="0"/>
        <v>0.008850662737011183</v>
      </c>
      <c r="E24" s="123">
        <f t="shared" si="1"/>
        <v>14.731586114410105</v>
      </c>
      <c r="F24" s="124">
        <f t="shared" si="2"/>
        <v>0.0060060672697984235</v>
      </c>
      <c r="G24" s="124">
        <f t="shared" si="3"/>
        <v>0.0028384716569276095</v>
      </c>
      <c r="H24" s="119"/>
      <c r="I24" s="120">
        <v>64.0411</v>
      </c>
      <c r="J24" s="87">
        <v>1</v>
      </c>
      <c r="K24" s="120">
        <v>46.6</v>
      </c>
      <c r="L24" s="121">
        <v>3.266099</v>
      </c>
      <c r="M24" s="121">
        <v>4.5</v>
      </c>
      <c r="N24" s="121">
        <v>9.673</v>
      </c>
      <c r="O24" s="121">
        <f t="shared" si="8"/>
        <v>2.1495555555555557</v>
      </c>
      <c r="P24" s="119">
        <v>6429.757631</v>
      </c>
      <c r="Q24" s="122">
        <v>0.6197178277324648</v>
      </c>
      <c r="R24" s="119">
        <f t="shared" si="9"/>
        <v>3984.6354319295588</v>
      </c>
      <c r="S24" s="120">
        <f t="shared" si="4"/>
        <v>199.23177159647793</v>
      </c>
      <c r="T24" s="121">
        <v>2.6</v>
      </c>
      <c r="U24" s="121">
        <v>6.530151</v>
      </c>
      <c r="V24" s="121">
        <f t="shared" si="18"/>
        <v>2.5115965384615384</v>
      </c>
      <c r="X24" s="120">
        <f t="shared" si="10"/>
        <v>39.846354319295585</v>
      </c>
      <c r="Y24" s="121">
        <v>8.4</v>
      </c>
      <c r="Z24" s="121">
        <v>15.43077</v>
      </c>
      <c r="AA24" s="121">
        <f t="shared" si="19"/>
        <v>1.8369964285714286</v>
      </c>
      <c r="AB24" s="121"/>
      <c r="AC24" s="127">
        <v>42268.08762756709</v>
      </c>
      <c r="AD24" s="127">
        <v>53073.483627665875</v>
      </c>
      <c r="AE24" s="127">
        <v>50589.46587768359</v>
      </c>
      <c r="AF24" s="127">
        <v>63522.13548550708</v>
      </c>
      <c r="AG24" s="119">
        <f t="shared" si="11"/>
        <v>83.5511640501678</v>
      </c>
      <c r="AH24" s="119">
        <f t="shared" si="12"/>
        <v>83.55116405016781</v>
      </c>
      <c r="AI24" s="127">
        <v>34041.23839217557</v>
      </c>
      <c r="AJ24" s="127">
        <v>52935.11290458924</v>
      </c>
      <c r="AK24" s="125">
        <f t="shared" si="21"/>
        <v>4.534939779273056</v>
      </c>
      <c r="AL24" s="119">
        <f t="shared" si="13"/>
        <v>172514.90877844798</v>
      </c>
      <c r="AM24" s="119">
        <f t="shared" si="14"/>
        <v>216616.54691492935</v>
      </c>
      <c r="AN24" s="126"/>
      <c r="AO24" s="119">
        <f t="shared" si="6"/>
        <v>13319.533125258853</v>
      </c>
      <c r="AP24" s="119">
        <f t="shared" si="7"/>
        <v>54362.9525499734</v>
      </c>
      <c r="AQ24" s="119">
        <f t="shared" si="15"/>
        <v>216051.79430819902</v>
      </c>
      <c r="AR24" s="119">
        <f t="shared" si="16"/>
        <v>13284.807056728756</v>
      </c>
      <c r="AS24" s="100">
        <f t="shared" si="17"/>
        <v>54221.21998337399</v>
      </c>
    </row>
    <row r="25" spans="1:45" ht="15">
      <c r="A25" s="20">
        <v>2005</v>
      </c>
      <c r="B25" s="119">
        <v>691</v>
      </c>
      <c r="C25" s="119">
        <v>2236.2</v>
      </c>
      <c r="D25" s="124">
        <f t="shared" si="0"/>
        <v>0.009431162531847517</v>
      </c>
      <c r="E25" s="123">
        <f t="shared" si="1"/>
        <v>17.02566948583328</v>
      </c>
      <c r="F25" s="124">
        <f t="shared" si="2"/>
        <v>0.006030591884815089</v>
      </c>
      <c r="G25" s="124">
        <f t="shared" si="3"/>
        <v>0.0027977787043963922</v>
      </c>
      <c r="H25" s="119"/>
      <c r="I25" s="120">
        <v>63.8072</v>
      </c>
      <c r="J25" s="87">
        <v>1</v>
      </c>
      <c r="K25" s="120">
        <v>46.5</v>
      </c>
      <c r="L25" s="121">
        <v>3.236179</v>
      </c>
      <c r="M25" s="121">
        <v>5</v>
      </c>
      <c r="N25" s="121">
        <v>10.419</v>
      </c>
      <c r="O25" s="121">
        <f t="shared" si="8"/>
        <v>2.0838</v>
      </c>
      <c r="P25" s="119">
        <v>6506.649175</v>
      </c>
      <c r="Q25" s="122">
        <v>0.6237584728855463</v>
      </c>
      <c r="R25" s="119">
        <f t="shared" si="9"/>
        <v>4058.5775529999996</v>
      </c>
      <c r="S25" s="120">
        <f t="shared" si="4"/>
        <v>202.92887764999998</v>
      </c>
      <c r="T25" s="121">
        <v>2.9</v>
      </c>
      <c r="U25" s="121">
        <v>7.046306</v>
      </c>
      <c r="V25" s="121">
        <f t="shared" si="18"/>
        <v>2.4297606896551724</v>
      </c>
      <c r="X25" s="120">
        <f t="shared" si="10"/>
        <v>40.58577552999999</v>
      </c>
      <c r="Y25" s="121">
        <v>9</v>
      </c>
      <c r="Z25" s="121">
        <v>16.345</v>
      </c>
      <c r="AA25" s="121">
        <f t="shared" si="19"/>
        <v>1.816111111111111</v>
      </c>
      <c r="AB25" s="121"/>
      <c r="AC25" s="127">
        <v>45673.09123525374</v>
      </c>
      <c r="AD25" s="127">
        <v>57257.362251002996</v>
      </c>
      <c r="AE25" s="127">
        <v>52908.64048447642</v>
      </c>
      <c r="AF25" s="127">
        <v>66328.09631438817</v>
      </c>
      <c r="AG25" s="119">
        <f t="shared" si="11"/>
        <v>86.32444685221952</v>
      </c>
      <c r="AH25" s="119">
        <f t="shared" si="12"/>
        <v>86.32444685221952</v>
      </c>
      <c r="AI25" s="127">
        <v>36726.64612409224</v>
      </c>
      <c r="AJ25" s="127">
        <v>55273.41359532349</v>
      </c>
      <c r="AK25" s="125">
        <f t="shared" si="21"/>
        <v>4.6012048344547924</v>
      </c>
      <c r="AL25" s="119">
        <f t="shared" si="13"/>
        <v>189136.1233765299</v>
      </c>
      <c r="AM25" s="119">
        <f t="shared" si="14"/>
        <v>237107.5667976999</v>
      </c>
      <c r="AN25" s="126"/>
      <c r="AO25" s="119">
        <f t="shared" si="6"/>
        <v>14107.74132150802</v>
      </c>
      <c r="AP25" s="119">
        <f t="shared" si="7"/>
        <v>58421.34681458431</v>
      </c>
      <c r="AQ25" s="119">
        <f t="shared" si="15"/>
        <v>228891.86806645952</v>
      </c>
      <c r="AR25" s="119">
        <f t="shared" si="16"/>
        <v>13618.912752934031</v>
      </c>
      <c r="AS25" s="100">
        <f t="shared" si="17"/>
        <v>56397.06647893628</v>
      </c>
    </row>
    <row r="26" spans="1:45" ht="15">
      <c r="A26" s="20">
        <v>2006</v>
      </c>
      <c r="B26" s="119">
        <v>793</v>
      </c>
      <c r="C26" s="119">
        <v>2645.5</v>
      </c>
      <c r="D26" s="124">
        <f t="shared" si="0"/>
        <v>0.010047595071696105</v>
      </c>
      <c r="E26" s="123">
        <f t="shared" si="1"/>
        <v>19.18155155098426</v>
      </c>
      <c r="F26" s="124">
        <f t="shared" si="2"/>
        <v>0.0061114860818376505</v>
      </c>
      <c r="G26" s="124">
        <f t="shared" si="3"/>
        <v>0.002684972999677793</v>
      </c>
      <c r="H26" s="119"/>
      <c r="I26" s="120">
        <v>63.2523</v>
      </c>
      <c r="J26" s="87">
        <v>1</v>
      </c>
      <c r="K26" s="120">
        <v>50</v>
      </c>
      <c r="L26" s="121">
        <v>3.336066</v>
      </c>
      <c r="M26" s="121">
        <v>6</v>
      </c>
      <c r="N26" s="121">
        <v>11.498</v>
      </c>
      <c r="O26" s="121">
        <f t="shared" si="8"/>
        <v>1.9163333333333332</v>
      </c>
      <c r="P26" s="119">
        <v>6583.958568</v>
      </c>
      <c r="Q26" s="122">
        <v>0.627917178689621</v>
      </c>
      <c r="R26" s="119">
        <f t="shared" si="9"/>
        <v>4134.180688627917</v>
      </c>
      <c r="S26" s="120">
        <f t="shared" si="4"/>
        <v>206.70903443139585</v>
      </c>
      <c r="T26" s="121">
        <v>3.3</v>
      </c>
      <c r="U26" s="121">
        <v>7.784541</v>
      </c>
      <c r="V26" s="121">
        <f t="shared" si="18"/>
        <v>2.358951818181818</v>
      </c>
      <c r="X26" s="120">
        <f t="shared" si="10"/>
        <v>41.34180688627917</v>
      </c>
      <c r="Y26" s="121">
        <v>10.7</v>
      </c>
      <c r="Z26" s="121">
        <v>17.1</v>
      </c>
      <c r="AA26" s="121">
        <f t="shared" si="19"/>
        <v>1.5981308411214956</v>
      </c>
      <c r="AB26" s="121"/>
      <c r="AC26" s="127">
        <v>49484.769319646264</v>
      </c>
      <c r="AD26" s="127">
        <v>62678.934803163655</v>
      </c>
      <c r="AE26" s="127">
        <v>55532.69175264659</v>
      </c>
      <c r="AF26" s="127">
        <v>70339.41985916083</v>
      </c>
      <c r="AG26" s="119">
        <f t="shared" si="11"/>
        <v>89.10925755240005</v>
      </c>
      <c r="AH26" s="119">
        <f t="shared" si="12"/>
        <v>89.10925755240004</v>
      </c>
      <c r="AI26" s="127">
        <v>39446.338500232145</v>
      </c>
      <c r="AJ26" s="127">
        <v>58616.18321596736</v>
      </c>
      <c r="AK26" s="125">
        <f t="shared" si="21"/>
        <v>4.6674698896365285</v>
      </c>
      <c r="AL26" s="119">
        <f t="shared" si="13"/>
        <v>207871.80371555258</v>
      </c>
      <c r="AM26" s="119">
        <f t="shared" si="14"/>
        <v>263296.8368174317</v>
      </c>
      <c r="AN26" s="126"/>
      <c r="AO26" s="119">
        <f t="shared" si="6"/>
        <v>15161.150303753659</v>
      </c>
      <c r="AP26" s="119">
        <f t="shared" si="7"/>
        <v>63687.79128152151</v>
      </c>
      <c r="AQ26" s="119">
        <f t="shared" si="15"/>
        <v>246230.34318535114</v>
      </c>
      <c r="AR26" s="119">
        <f t="shared" si="16"/>
        <v>14178.427995952285</v>
      </c>
      <c r="AS26" s="100">
        <f t="shared" si="17"/>
        <v>59559.64717813819</v>
      </c>
    </row>
    <row r="27" spans="1:45" ht="15">
      <c r="A27" s="20">
        <v>2007</v>
      </c>
      <c r="B27" s="119">
        <v>946</v>
      </c>
      <c r="C27" s="119">
        <v>3452</v>
      </c>
      <c r="D27" s="124">
        <f t="shared" si="0"/>
        <v>0.011936232059383448</v>
      </c>
      <c r="E27" s="123">
        <f t="shared" si="1"/>
        <v>22.4636702522956</v>
      </c>
      <c r="F27" s="124">
        <f t="shared" si="2"/>
        <v>0.006950195934164252</v>
      </c>
      <c r="G27" s="124">
        <f t="shared" si="3"/>
        <v>0.0030229028850954406</v>
      </c>
      <c r="H27" s="119"/>
      <c r="I27" s="120">
        <v>62.3588</v>
      </c>
      <c r="J27" s="87">
        <v>1</v>
      </c>
      <c r="K27" s="120">
        <v>56</v>
      </c>
      <c r="L27" s="121">
        <v>3.649049</v>
      </c>
      <c r="M27" s="121">
        <v>7.3</v>
      </c>
      <c r="N27" s="121">
        <v>14.288</v>
      </c>
      <c r="O27" s="121">
        <f t="shared" si="8"/>
        <v>1.9572602739726028</v>
      </c>
      <c r="P27" s="119">
        <v>6661.63746</v>
      </c>
      <c r="Q27" s="122">
        <v>0.6321635150619372</v>
      </c>
      <c r="R27" s="119">
        <f t="shared" si="9"/>
        <v>4211.2441527818755</v>
      </c>
      <c r="S27" s="120">
        <f t="shared" si="4"/>
        <v>210.56220763909377</v>
      </c>
      <c r="T27" s="121">
        <v>4.1</v>
      </c>
      <c r="U27" s="121">
        <v>9.545972</v>
      </c>
      <c r="V27" s="121">
        <f t="shared" si="18"/>
        <v>2.328285853658537</v>
      </c>
      <c r="X27" s="120">
        <f t="shared" si="10"/>
        <v>42.11244152781875</v>
      </c>
      <c r="Y27" s="121">
        <v>13</v>
      </c>
      <c r="Z27" s="121">
        <v>20.75952</v>
      </c>
      <c r="AA27" s="121">
        <f t="shared" si="19"/>
        <v>1.5968861538461536</v>
      </c>
      <c r="AB27" s="121"/>
      <c r="AC27" s="127">
        <v>55793.85119787484</v>
      </c>
      <c r="AD27" s="127">
        <v>67882.38415130734</v>
      </c>
      <c r="AE27" s="127">
        <v>60848.78205816394</v>
      </c>
      <c r="AF27" s="127">
        <v>74032.53781787325</v>
      </c>
      <c r="AG27" s="119">
        <f t="shared" si="11"/>
        <v>91.69263428238021</v>
      </c>
      <c r="AH27" s="119">
        <f t="shared" si="12"/>
        <v>91.69263428238021</v>
      </c>
      <c r="AI27" s="127">
        <v>40765.107851512876</v>
      </c>
      <c r="AJ27" s="127">
        <v>61693.78151489438</v>
      </c>
      <c r="AK27" s="125">
        <f t="shared" si="21"/>
        <v>4.733734944818265</v>
      </c>
      <c r="AL27" s="119">
        <f t="shared" si="13"/>
        <v>237701.97280923347</v>
      </c>
      <c r="AM27" s="119">
        <f t="shared" si="14"/>
        <v>289203.492595159</v>
      </c>
      <c r="AN27" s="126"/>
      <c r="AO27" s="119">
        <f t="shared" si="6"/>
        <v>16119.318113262421</v>
      </c>
      <c r="AP27" s="119">
        <f t="shared" si="7"/>
        <v>68674.1214954531</v>
      </c>
      <c r="AQ27" s="119">
        <f t="shared" si="15"/>
        <v>262837.8084915347</v>
      </c>
      <c r="AR27" s="119">
        <f t="shared" si="16"/>
        <v>14649.77552397206</v>
      </c>
      <c r="AS27" s="100">
        <f t="shared" si="17"/>
        <v>62413.33889841286</v>
      </c>
    </row>
    <row r="28" spans="1:45" ht="15">
      <c r="A28" s="20">
        <v>2008</v>
      </c>
      <c r="B28" s="119">
        <v>1125</v>
      </c>
      <c r="C28" s="119">
        <v>4381</v>
      </c>
      <c r="D28" s="124">
        <f t="shared" si="0"/>
        <v>0.014121075657490762</v>
      </c>
      <c r="E28" s="123">
        <f t="shared" si="1"/>
        <v>26.22971643025322</v>
      </c>
      <c r="F28" s="124">
        <f t="shared" si="2"/>
        <v>0.007920737660778155</v>
      </c>
      <c r="G28" s="124">
        <f t="shared" si="3"/>
        <v>0.0035058593007912956</v>
      </c>
      <c r="H28" s="119"/>
      <c r="I28" s="120">
        <v>61.3425</v>
      </c>
      <c r="J28" s="87">
        <v>1</v>
      </c>
      <c r="K28" s="120">
        <v>62</v>
      </c>
      <c r="L28" s="121">
        <v>3.894222</v>
      </c>
      <c r="M28" s="121">
        <v>8.9</v>
      </c>
      <c r="N28" s="121">
        <v>17.214</v>
      </c>
      <c r="O28" s="121">
        <f t="shared" si="8"/>
        <v>1.9341573033707864</v>
      </c>
      <c r="P28" s="119">
        <v>6739.610289</v>
      </c>
      <c r="Q28" s="122">
        <v>0.6363911659428947</v>
      </c>
      <c r="R28" s="119">
        <f t="shared" si="9"/>
        <v>4289.02844981744</v>
      </c>
      <c r="S28" s="120">
        <f t="shared" si="4"/>
        <v>214.45142249087198</v>
      </c>
      <c r="T28" s="121">
        <v>4.7</v>
      </c>
      <c r="U28" s="121">
        <v>11.45888</v>
      </c>
      <c r="V28" s="121">
        <f t="shared" si="18"/>
        <v>2.438059574468085</v>
      </c>
      <c r="X28" s="120">
        <f t="shared" si="10"/>
        <v>42.890284498174395</v>
      </c>
      <c r="Y28" s="121">
        <v>16</v>
      </c>
      <c r="Z28" s="121">
        <v>25.35952</v>
      </c>
      <c r="AA28" s="121">
        <f t="shared" si="19"/>
        <v>1.58497</v>
      </c>
      <c r="AB28" s="121"/>
      <c r="AC28" s="127">
        <v>61198.696482168394</v>
      </c>
      <c r="AD28" s="127">
        <v>71816.08504677992</v>
      </c>
      <c r="AE28" s="127">
        <v>65299.312678531816</v>
      </c>
      <c r="AF28" s="127">
        <v>76628.11893688155</v>
      </c>
      <c r="AG28" s="119">
        <f t="shared" si="11"/>
        <v>93.7202766336137</v>
      </c>
      <c r="AH28" s="119">
        <f t="shared" si="12"/>
        <v>93.7202766336137</v>
      </c>
      <c r="AI28" s="127">
        <v>41778.820120964316</v>
      </c>
      <c r="AJ28" s="127">
        <v>63856.765780734626</v>
      </c>
      <c r="AK28" s="125">
        <v>4.8</v>
      </c>
      <c r="AL28" s="119">
        <f t="shared" si="13"/>
        <v>264378.3688029675</v>
      </c>
      <c r="AM28" s="119">
        <f t="shared" si="14"/>
        <v>310245.4874020893</v>
      </c>
      <c r="AN28" s="126"/>
      <c r="AO28" s="119">
        <f t="shared" si="6"/>
        <v>16744.138185848762</v>
      </c>
      <c r="AP28" s="119">
        <f t="shared" si="7"/>
        <v>72334.67696286667</v>
      </c>
      <c r="AQ28" s="119">
        <f t="shared" si="15"/>
        <v>275861.2281727736</v>
      </c>
      <c r="AR28" s="119">
        <f t="shared" si="16"/>
        <v>14888.398742949037</v>
      </c>
      <c r="AS28" s="100">
        <f t="shared" si="17"/>
        <v>64317.88256953984</v>
      </c>
    </row>
    <row r="29" spans="1:45" ht="15">
      <c r="A29" s="20">
        <v>2009</v>
      </c>
      <c r="B29" s="119">
        <v>793</v>
      </c>
      <c r="C29" s="119">
        <v>2414.7</v>
      </c>
      <c r="D29" s="124">
        <f t="shared" si="0"/>
        <v>0.008655969991704428</v>
      </c>
      <c r="E29" s="123">
        <f t="shared" si="1"/>
        <v>18.16078157581421</v>
      </c>
      <c r="F29" s="124">
        <f t="shared" si="2"/>
        <v>0.005349944709847806</v>
      </c>
      <c r="G29" s="124">
        <f t="shared" si="3"/>
        <v>0.002433096356505598</v>
      </c>
      <c r="H29" s="119"/>
      <c r="I29" s="120">
        <v>63.6719</v>
      </c>
      <c r="J29" s="87">
        <v>1</v>
      </c>
      <c r="K29" s="120">
        <v>40</v>
      </c>
      <c r="L29" s="121">
        <v>3.045019</v>
      </c>
      <c r="M29" s="121">
        <v>5</v>
      </c>
      <c r="N29" s="121">
        <v>10.501</v>
      </c>
      <c r="O29" s="121">
        <f t="shared" si="8"/>
        <v>2.1002</v>
      </c>
      <c r="P29" s="119">
        <v>6817.737123</v>
      </c>
      <c r="Q29" s="122">
        <v>0.6404694226658175</v>
      </c>
      <c r="R29" s="119">
        <f t="shared" si="9"/>
        <v>4366.552159055122</v>
      </c>
      <c r="S29" s="120">
        <f t="shared" si="4"/>
        <v>218.32760795275607</v>
      </c>
      <c r="T29" s="121">
        <v>3</v>
      </c>
      <c r="U29" s="121">
        <v>6.83578</v>
      </c>
      <c r="V29" s="121">
        <f t="shared" si="18"/>
        <v>2.2785933333333332</v>
      </c>
      <c r="X29" s="120">
        <f t="shared" si="10"/>
        <v>43.665521590551215</v>
      </c>
      <c r="Y29" s="121">
        <v>9</v>
      </c>
      <c r="Z29" s="121">
        <v>15.54419</v>
      </c>
      <c r="AA29" s="121">
        <f t="shared" si="19"/>
        <v>1.7271322222222223</v>
      </c>
      <c r="AB29" s="121"/>
      <c r="AC29" s="127">
        <v>57859.92518319685</v>
      </c>
      <c r="AD29" s="127">
        <v>72083.60114118553</v>
      </c>
      <c r="AE29" s="127">
        <v>61087.19235309034</v>
      </c>
      <c r="AF29" s="127">
        <v>76104.22575682543</v>
      </c>
      <c r="AG29" s="119">
        <f t="shared" si="11"/>
        <v>94.71694958373674</v>
      </c>
      <c r="AH29" s="119">
        <f t="shared" si="12"/>
        <v>94.71694958373672</v>
      </c>
      <c r="AI29" s="127">
        <v>41650.06212364797</v>
      </c>
      <c r="AJ29" s="127">
        <v>63420.18813068785</v>
      </c>
      <c r="AK29" s="125">
        <v>4.3</v>
      </c>
      <c r="AL29" s="119">
        <f t="shared" si="13"/>
        <v>223917.9104589718</v>
      </c>
      <c r="AM29" s="119">
        <f t="shared" si="14"/>
        <v>278963.536416388</v>
      </c>
      <c r="AN29" s="126"/>
      <c r="AO29" s="119">
        <f t="shared" si="6"/>
        <v>16508.12781239826</v>
      </c>
      <c r="AP29" s="119">
        <f t="shared" si="7"/>
        <v>63886.454633981266</v>
      </c>
      <c r="AQ29" s="119">
        <f t="shared" si="15"/>
        <v>245436.128065762</v>
      </c>
      <c r="AR29" s="119">
        <f t="shared" si="16"/>
        <v>14524.088072364018</v>
      </c>
      <c r="AS29" s="100">
        <f t="shared" si="17"/>
        <v>56208.22084004876</v>
      </c>
    </row>
    <row r="30" spans="1:45" ht="15">
      <c r="A30" s="20">
        <v>2010</v>
      </c>
      <c r="B30" s="119">
        <v>1011</v>
      </c>
      <c r="C30" s="119">
        <v>3567.8</v>
      </c>
      <c r="D30" s="124">
        <f t="shared" si="0"/>
        <v>0.011791126958968902</v>
      </c>
      <c r="E30" s="123">
        <f t="shared" si="1"/>
        <v>22.754535585786137</v>
      </c>
      <c r="F30" s="124">
        <f t="shared" si="2"/>
        <v>0.006838542266409204</v>
      </c>
      <c r="G30" s="124">
        <f t="shared" si="3"/>
        <v>0.003068910902348819</v>
      </c>
      <c r="H30" s="119"/>
      <c r="I30" s="120">
        <v>62.7677</v>
      </c>
      <c r="J30" s="87">
        <v>1</v>
      </c>
      <c r="K30" s="120">
        <v>53.5</v>
      </c>
      <c r="L30" s="121">
        <v>3.528981</v>
      </c>
      <c r="M30" s="121">
        <v>7.2</v>
      </c>
      <c r="N30" s="121">
        <v>14.434</v>
      </c>
      <c r="O30" s="121">
        <f t="shared" si="8"/>
        <v>2.004722222222222</v>
      </c>
      <c r="P30" s="119">
        <v>6895.889018</v>
      </c>
      <c r="Q30" s="122">
        <v>0.6443070985339919</v>
      </c>
      <c r="R30" s="119">
        <f t="shared" si="9"/>
        <v>4443.070244999999</v>
      </c>
      <c r="S30" s="120">
        <f t="shared" si="4"/>
        <v>222.15351224999992</v>
      </c>
      <c r="T30" s="121">
        <v>4</v>
      </c>
      <c r="U30" s="121">
        <v>9.314414</v>
      </c>
      <c r="V30" s="121">
        <f t="shared" si="18"/>
        <v>2.3286035</v>
      </c>
      <c r="X30" s="120">
        <f t="shared" si="10"/>
        <v>44.430702449999984</v>
      </c>
      <c r="Y30" s="121">
        <v>12.2</v>
      </c>
      <c r="Z30" s="121">
        <v>20.9</v>
      </c>
      <c r="AA30" s="121">
        <f t="shared" si="19"/>
        <v>1.7131147540983607</v>
      </c>
      <c r="AB30" s="121"/>
      <c r="AC30" s="127">
        <v>63141.0524711997</v>
      </c>
      <c r="AD30" s="127">
        <v>76430.87321139878</v>
      </c>
      <c r="AE30" s="127">
        <v>65903.46339364914</v>
      </c>
      <c r="AF30" s="127">
        <v>79774.71166052534</v>
      </c>
      <c r="AG30" s="119">
        <f t="shared" si="11"/>
        <v>95.80839795027278</v>
      </c>
      <c r="AH30" s="119">
        <f t="shared" si="12"/>
        <v>95.80839795027275</v>
      </c>
      <c r="AI30" s="127">
        <v>47674.33596311697</v>
      </c>
      <c r="AJ30" s="127">
        <v>66478.92638377113</v>
      </c>
      <c r="AK30" s="72">
        <v>4.398796337405904</v>
      </c>
      <c r="AL30" s="119">
        <f t="shared" si="13"/>
        <v>249970.16731524054</v>
      </c>
      <c r="AM30" s="119">
        <f t="shared" si="14"/>
        <v>302583.4606323324</v>
      </c>
      <c r="AN30" s="126"/>
      <c r="AO30" s="119">
        <f t="shared" si="6"/>
        <v>17202.26532484156</v>
      </c>
      <c r="AP30" s="119">
        <f t="shared" si="7"/>
        <v>68102.33553539788</v>
      </c>
      <c r="AQ30" s="119">
        <f t="shared" si="15"/>
        <v>263184.5321024483</v>
      </c>
      <c r="AR30" s="119">
        <f t="shared" si="16"/>
        <v>14962.384729024501</v>
      </c>
      <c r="AS30" s="100">
        <f t="shared" si="17"/>
        <v>59234.83483040191</v>
      </c>
    </row>
    <row r="31" spans="1:45" ht="15">
      <c r="A31" s="20">
        <v>2011</v>
      </c>
      <c r="B31" s="119">
        <v>1206</v>
      </c>
      <c r="C31" s="119">
        <v>4500</v>
      </c>
      <c r="D31" s="124">
        <f t="shared" si="0"/>
        <v>0.01394091455504011</v>
      </c>
      <c r="E31" s="123">
        <f t="shared" si="1"/>
        <v>26.68032254982975</v>
      </c>
      <c r="F31" s="124">
        <f t="shared" si="2"/>
        <v>0.00805198261347627</v>
      </c>
      <c r="G31" s="124">
        <f t="shared" si="3"/>
        <v>0.0036184909692561196</v>
      </c>
      <c r="H31" s="119"/>
      <c r="I31" s="87"/>
      <c r="J31" s="87">
        <v>1</v>
      </c>
      <c r="K31" s="120">
        <v>74</v>
      </c>
      <c r="L31" s="121">
        <f>C31/B31</f>
        <v>3.7313432835820897</v>
      </c>
      <c r="M31" s="121">
        <v>8.8</v>
      </c>
      <c r="N31" s="121">
        <f>M31*O31</f>
        <v>18.480000000000004</v>
      </c>
      <c r="O31" s="87">
        <v>2.1</v>
      </c>
      <c r="P31" s="119">
        <v>6974.036375</v>
      </c>
      <c r="Q31" s="72">
        <f>Q30+(Q30-Q29)</f>
        <v>0.6481447744021663</v>
      </c>
      <c r="R31" s="119">
        <f t="shared" si="9"/>
        <v>4520.185232946877</v>
      </c>
      <c r="S31" s="120">
        <f t="shared" si="4"/>
        <v>226.0092616473438</v>
      </c>
      <c r="T31" s="87">
        <v>4.6</v>
      </c>
      <c r="U31" s="121">
        <f>T31*V31</f>
        <v>11.5</v>
      </c>
      <c r="V31" s="87">
        <v>2.5</v>
      </c>
      <c r="X31" s="120">
        <f t="shared" si="10"/>
        <v>45.201852329468764</v>
      </c>
      <c r="Y31" s="121">
        <v>13.6</v>
      </c>
      <c r="Z31" s="121">
        <f>Y31*AA31</f>
        <v>25.84</v>
      </c>
      <c r="AA31" s="87">
        <v>1.9</v>
      </c>
      <c r="AB31" s="87"/>
      <c r="AC31" s="127">
        <v>70066.56314042781</v>
      </c>
      <c r="AD31" s="127">
        <v>81296.8926939326</v>
      </c>
      <c r="AE31" s="127">
        <v>71187.62815067465</v>
      </c>
      <c r="AF31" s="127">
        <v>82597.64297703555</v>
      </c>
      <c r="AG31" s="119">
        <f t="shared" si="11"/>
        <v>98.42519685039368</v>
      </c>
      <c r="AH31" s="119">
        <f t="shared" si="12"/>
        <v>98.4251968503937</v>
      </c>
      <c r="AI31" s="127">
        <v>50402.73252788244</v>
      </c>
      <c r="AJ31" s="127">
        <v>68831.36914752962</v>
      </c>
      <c r="AK31" s="125">
        <f>AK30+(AK$30-AK$20)/10</f>
        <v>4.411688015291883</v>
      </c>
      <c r="AL31" s="119">
        <f t="shared" si="13"/>
        <v>278200.63519138563</v>
      </c>
      <c r="AM31" s="119">
        <f t="shared" si="14"/>
        <v>322790.87446046347</v>
      </c>
      <c r="AN31" s="126"/>
      <c r="AO31" s="119">
        <f t="shared" si="6"/>
        <v>17985.301155663514</v>
      </c>
      <c r="AP31" s="119">
        <f t="shared" si="7"/>
        <v>71410.98380387037</v>
      </c>
      <c r="AQ31" s="119">
        <f t="shared" si="15"/>
        <v>273296.2737098591</v>
      </c>
      <c r="AR31" s="119">
        <f t="shared" si="16"/>
        <v>15227.554978461776</v>
      </c>
      <c r="AS31" s="100">
        <f t="shared" si="17"/>
        <v>60461.29962061027</v>
      </c>
    </row>
    <row r="32" spans="1:45" ht="15">
      <c r="A32" s="20">
        <v>2012</v>
      </c>
      <c r="B32" s="119">
        <v>1226</v>
      </c>
      <c r="C32" s="119">
        <v>4600</v>
      </c>
      <c r="D32" s="124">
        <f t="shared" si="0"/>
        <v>0.0135258315925235</v>
      </c>
      <c r="E32" s="123">
        <f t="shared" si="1"/>
        <v>26.66452970083612</v>
      </c>
      <c r="F32" s="124">
        <f t="shared" si="2"/>
        <v>0.008260453606339997</v>
      </c>
      <c r="G32" s="124">
        <f t="shared" si="3"/>
        <v>0.0037313996650570197</v>
      </c>
      <c r="H32" s="119"/>
      <c r="I32" s="87"/>
      <c r="J32" s="87">
        <v>1</v>
      </c>
      <c r="K32" s="120">
        <v>69</v>
      </c>
      <c r="L32" s="121">
        <f>C32/B32</f>
        <v>3.7520391517128875</v>
      </c>
      <c r="M32" s="121">
        <v>9</v>
      </c>
      <c r="N32" s="121">
        <f>M32*O32</f>
        <v>19.8</v>
      </c>
      <c r="O32" s="87">
        <v>2.2</v>
      </c>
      <c r="P32" s="119">
        <v>7052.135305</v>
      </c>
      <c r="Q32" s="72">
        <f>Q31+(Q31-Q30)</f>
        <v>0.6519824502703407</v>
      </c>
      <c r="R32" s="119">
        <f t="shared" si="9"/>
        <v>4597.868455791877</v>
      </c>
      <c r="S32" s="120">
        <f t="shared" si="4"/>
        <v>229.8934227895938</v>
      </c>
      <c r="T32" s="87">
        <v>4.7</v>
      </c>
      <c r="U32" s="121">
        <f>T32*V32</f>
        <v>12.22</v>
      </c>
      <c r="V32" s="87">
        <v>2.6</v>
      </c>
      <c r="X32" s="120">
        <f t="shared" si="10"/>
        <v>45.97868455791876</v>
      </c>
      <c r="Y32" s="121">
        <v>13.8</v>
      </c>
      <c r="Z32" s="121">
        <f>Y32*AA32</f>
        <v>27.6</v>
      </c>
      <c r="AA32" s="121">
        <v>2</v>
      </c>
      <c r="AB32" s="87"/>
      <c r="AC32" s="127">
        <v>73477.5709492579</v>
      </c>
      <c r="AD32" s="127">
        <v>85404.21882646621</v>
      </c>
      <c r="AE32" s="127">
        <v>73477.5709492579</v>
      </c>
      <c r="AF32" s="127">
        <v>85404.21882646623</v>
      </c>
      <c r="AG32" s="119">
        <f t="shared" si="11"/>
        <v>99.99999999999997</v>
      </c>
      <c r="AH32" s="119">
        <f t="shared" si="12"/>
        <v>100</v>
      </c>
      <c r="AI32" s="127">
        <v>56521.20842250608</v>
      </c>
      <c r="AJ32" s="127">
        <v>71170.18235538853</v>
      </c>
      <c r="AK32" s="125">
        <f>AK31+(AK$30-AK$20)/10</f>
        <v>4.424579693177862</v>
      </c>
      <c r="AL32" s="119">
        <f t="shared" si="13"/>
        <v>292596.6314935099</v>
      </c>
      <c r="AM32" s="119">
        <f t="shared" si="14"/>
        <v>340089.99509817077</v>
      </c>
      <c r="AN32" s="126"/>
      <c r="AO32" s="119">
        <f t="shared" si="6"/>
        <v>18574.74167597892</v>
      </c>
      <c r="AP32" s="119">
        <f t="shared" si="7"/>
        <v>73966.88234300476</v>
      </c>
      <c r="AQ32" s="119">
        <f t="shared" si="15"/>
        <v>283408.3292484758</v>
      </c>
      <c r="AR32" s="119">
        <f t="shared" si="16"/>
        <v>15478.951396649105</v>
      </c>
      <c r="AS32" s="100">
        <f t="shared" si="17"/>
        <v>61639.06861917067</v>
      </c>
    </row>
    <row r="33" spans="1:45" ht="15.75" thickBot="1">
      <c r="A33" s="135">
        <v>2013</v>
      </c>
      <c r="B33" s="136">
        <v>1426</v>
      </c>
      <c r="C33" s="136">
        <v>5400</v>
      </c>
      <c r="D33" s="129">
        <f t="shared" si="0"/>
        <v>0.015070615279271083</v>
      </c>
      <c r="E33" s="137">
        <f t="shared" si="1"/>
        <v>30.496108088127734</v>
      </c>
      <c r="F33" s="129">
        <f t="shared" si="2"/>
        <v>0.009161138373453327</v>
      </c>
      <c r="G33" s="129">
        <f t="shared" si="3"/>
        <v>0.004220387678026789</v>
      </c>
      <c r="H33" s="119"/>
      <c r="I33" s="87"/>
      <c r="J33" s="87">
        <v>1</v>
      </c>
      <c r="K33" s="120">
        <v>73</v>
      </c>
      <c r="L33" s="121">
        <f>C33/B33</f>
        <v>3.7868162692847123</v>
      </c>
      <c r="M33" s="87">
        <v>10.6</v>
      </c>
      <c r="N33" s="121">
        <f>M33*O33</f>
        <v>24.38</v>
      </c>
      <c r="O33" s="121">
        <v>2.3</v>
      </c>
      <c r="P33" s="119">
        <v>7130.013741999999</v>
      </c>
      <c r="Q33" s="72">
        <f>Q32+(Q32-Q31)</f>
        <v>0.6558201261385151</v>
      </c>
      <c r="R33" s="119">
        <f t="shared" si="9"/>
        <v>4676.006511647786</v>
      </c>
      <c r="S33" s="120">
        <f t="shared" si="4"/>
        <v>233.8003255823893</v>
      </c>
      <c r="T33" s="87">
        <v>5.2</v>
      </c>
      <c r="U33" s="121">
        <f>T33*V33</f>
        <v>14.040000000000001</v>
      </c>
      <c r="V33" s="87">
        <v>2.7</v>
      </c>
      <c r="X33" s="120">
        <f t="shared" si="10"/>
        <v>46.76006511647786</v>
      </c>
      <c r="Y33" s="121">
        <v>15.4</v>
      </c>
      <c r="Z33" s="121">
        <f>Y33*AA33</f>
        <v>32.34</v>
      </c>
      <c r="AA33" s="121">
        <v>2.1</v>
      </c>
      <c r="AB33" s="87"/>
      <c r="AC33" s="119">
        <f aca="true" t="shared" si="22" ref="AC33:AJ33">AC32*(AC32/AC31)</f>
        <v>77054.63477326004</v>
      </c>
      <c r="AD33" s="119">
        <f t="shared" si="22"/>
        <v>89719.05753912397</v>
      </c>
      <c r="AE33" s="119">
        <f t="shared" si="22"/>
        <v>75841.17595793313</v>
      </c>
      <c r="AF33" s="119">
        <f t="shared" si="22"/>
        <v>88306.15899520075</v>
      </c>
      <c r="AG33" s="119">
        <f t="shared" si="11"/>
        <v>101.60000000000001</v>
      </c>
      <c r="AH33" s="119">
        <f t="shared" si="12"/>
        <v>101.59999999999998</v>
      </c>
      <c r="AI33" s="119">
        <f t="shared" si="22"/>
        <v>63382.41681188844</v>
      </c>
      <c r="AJ33" s="119">
        <f t="shared" si="22"/>
        <v>73588.46582933399</v>
      </c>
      <c r="AK33" s="125">
        <f>AK32+(AK$30-AK$20)/10</f>
        <v>4.437471371063841</v>
      </c>
      <c r="AL33" s="119">
        <f t="shared" si="13"/>
        <v>307734.96223270963</v>
      </c>
      <c r="AM33" s="119">
        <f t="shared" si="14"/>
        <v>358313.1743418229</v>
      </c>
      <c r="AN33" s="126"/>
      <c r="AO33" s="119">
        <f t="shared" si="6"/>
        <v>19187.11133434836</v>
      </c>
      <c r="AP33" s="119">
        <f t="shared" si="7"/>
        <v>76628.03151562685</v>
      </c>
      <c r="AQ33" s="119">
        <f t="shared" si="15"/>
        <v>293892.0393223614</v>
      </c>
      <c r="AR33" s="119">
        <f t="shared" si="16"/>
        <v>15737.46008394715</v>
      </c>
      <c r="AS33" s="100">
        <f t="shared" si="17"/>
        <v>62851.07571819789</v>
      </c>
    </row>
    <row r="34" spans="1:45" ht="16.5" thickBot="1" thickTop="1">
      <c r="A34" s="134"/>
      <c r="B34" s="134"/>
      <c r="C34" s="134"/>
      <c r="D34" s="134"/>
      <c r="E34" s="134"/>
      <c r="F34" s="134"/>
      <c r="G34" s="134"/>
      <c r="H34" s="101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01"/>
    </row>
    <row r="35" spans="1:45" ht="15.75" thickTop="1">
      <c r="A35" s="20" t="s">
        <v>62</v>
      </c>
      <c r="B35" s="121">
        <f>B33/B7</f>
        <v>10.185714285714285</v>
      </c>
      <c r="C35" s="121">
        <f>C33/C7</f>
        <v>18.305084745762713</v>
      </c>
      <c r="D35" s="87"/>
      <c r="E35" s="121"/>
      <c r="F35" s="121">
        <f>F33/F7</f>
        <v>3.0010854944377816</v>
      </c>
      <c r="G35" s="121">
        <f>G33/G7</f>
        <v>3.270583093925046</v>
      </c>
      <c r="H35" s="121"/>
      <c r="I35" s="126"/>
      <c r="J35" s="121"/>
      <c r="K35" s="121"/>
      <c r="L35" s="121">
        <f>L33/L7</f>
        <v>1.7971331447452872</v>
      </c>
      <c r="M35" s="121">
        <f>M33/M7</f>
        <v>8.153846153846153</v>
      </c>
      <c r="N35" s="121">
        <f>N33/N7</f>
        <v>8.930402930402929</v>
      </c>
      <c r="O35" s="121">
        <f>O33/O7</f>
        <v>1.0952380952380951</v>
      </c>
      <c r="P35" s="121">
        <f>P33/P7</f>
        <v>1.4148318024208062</v>
      </c>
      <c r="Q35" s="121"/>
      <c r="R35" s="121">
        <f>R33/R7</f>
        <v>1.640237124534643</v>
      </c>
      <c r="S35" s="121">
        <f>S33/S7</f>
        <v>1.6402371245346432</v>
      </c>
      <c r="T35" s="121">
        <f>T33/T7</f>
        <v>6.862188163987889</v>
      </c>
      <c r="U35" s="121">
        <f>U33/U7</f>
        <v>8.822813353698715</v>
      </c>
      <c r="V35" s="121"/>
      <c r="X35" s="121">
        <f>X33/X7</f>
        <v>1.6402371245346432</v>
      </c>
      <c r="Y35" s="121">
        <f>Y33/Y7</f>
        <v>7.783654284774715</v>
      </c>
      <c r="Z35" s="121">
        <f>Z33/Z7</f>
        <v>9.61510235178053</v>
      </c>
      <c r="AA35" s="121"/>
      <c r="AB35" s="121"/>
      <c r="AC35" s="121">
        <f aca="true" t="shared" si="23" ref="AC35:AJ35">AC33/AC7</f>
        <v>4.213402938829118</v>
      </c>
      <c r="AD35" s="121">
        <f t="shared" si="23"/>
        <v>4.0562886259495725</v>
      </c>
      <c r="AE35" s="121">
        <f t="shared" si="23"/>
        <v>2.4071917073217413</v>
      </c>
      <c r="AF35" s="121">
        <f t="shared" si="23"/>
        <v>2.3174295182892575</v>
      </c>
      <c r="AG35" s="121">
        <f>AG33/AG7</f>
        <v>1.7503395870023926</v>
      </c>
      <c r="AH35" s="121">
        <f>AH33/AH7</f>
        <v>1.7503395870023915</v>
      </c>
      <c r="AI35" s="121">
        <f t="shared" si="23"/>
        <v>3.93283541158116</v>
      </c>
      <c r="AJ35" s="121">
        <f t="shared" si="23"/>
        <v>2.3174295182892592</v>
      </c>
      <c r="AK35" s="126"/>
      <c r="AL35" s="121">
        <f>AL33/AL7</f>
        <v>5.008867063614023</v>
      </c>
      <c r="AM35" s="121">
        <f>AM33/AM7</f>
        <v>4.822090551035001</v>
      </c>
      <c r="AN35" s="126"/>
      <c r="AO35" s="121">
        <f>AO33/AO7</f>
        <v>2.4729891582599044</v>
      </c>
      <c r="AP35" s="121">
        <f>AP33/AP7</f>
        <v>2.9398740455914822</v>
      </c>
      <c r="AQ35" s="121">
        <f>AQ33/AQ7</f>
        <v>2.7549457184438424</v>
      </c>
      <c r="AR35" s="121">
        <f>AR33/AR7</f>
        <v>1.4128624962971403</v>
      </c>
      <c r="AS35" s="102">
        <f>AS33/AS7</f>
        <v>1.6796020997424121</v>
      </c>
    </row>
    <row r="36" spans="1:45" ht="15">
      <c r="A36" s="20"/>
      <c r="B36" s="124">
        <f>B35^(1/26)-1</f>
        <v>0.09337440565244548</v>
      </c>
      <c r="C36" s="124">
        <f>C35^(1/26)-1</f>
        <v>0.11830547645153966</v>
      </c>
      <c r="D36" s="87"/>
      <c r="E36" s="124"/>
      <c r="F36" s="124">
        <f>F35^(1/26)-1</f>
        <v>0.043174254854097205</v>
      </c>
      <c r="G36" s="124">
        <f>G35^(1/26)-1</f>
        <v>0.04663023495333496</v>
      </c>
      <c r="H36" s="124"/>
      <c r="I36" s="126"/>
      <c r="J36" s="124"/>
      <c r="K36" s="124"/>
      <c r="L36" s="124">
        <f>L35^(1/26)-1</f>
        <v>0.022801952076257903</v>
      </c>
      <c r="M36" s="124">
        <f>M35^(1/26)-1</f>
        <v>0.0840577144550283</v>
      </c>
      <c r="N36" s="124">
        <f>N35^(1/26)-1</f>
        <v>0.08785738324301873</v>
      </c>
      <c r="O36" s="124">
        <f>O35^(1/26)-1</f>
        <v>0.0035050428933116606</v>
      </c>
      <c r="P36" s="124">
        <f>P35^(1/26)-1</f>
        <v>0.013436026656892919</v>
      </c>
      <c r="Q36" s="124"/>
      <c r="R36" s="124">
        <f>R35^(1/26)-1</f>
        <v>0.019214608681880296</v>
      </c>
      <c r="S36" s="124">
        <f>S35^(1/26)-1</f>
        <v>0.019214608681880296</v>
      </c>
      <c r="T36" s="124">
        <f>T35^(1/26)-1</f>
        <v>0.07689073199197072</v>
      </c>
      <c r="U36" s="124">
        <f>U35^(1/26)-1</f>
        <v>0.08735036234878812</v>
      </c>
      <c r="V36" s="124"/>
      <c r="X36" s="124">
        <f>X35^(1/26)-1</f>
        <v>0.019214608681880296</v>
      </c>
      <c r="Y36" s="124">
        <f>Y35^(1/26)-1</f>
        <v>0.08212215800756684</v>
      </c>
      <c r="Z36" s="124">
        <f>Z35^(1/26)-1</f>
        <v>0.09095269551191043</v>
      </c>
      <c r="AA36" s="124"/>
      <c r="AB36" s="124"/>
      <c r="AC36" s="124">
        <f aca="true" t="shared" si="24" ref="AC36:AM36">AC35^(1/26)-1</f>
        <v>0.05687675452645102</v>
      </c>
      <c r="AD36" s="124">
        <f t="shared" si="24"/>
        <v>0.05533312760190867</v>
      </c>
      <c r="AE36" s="124">
        <f t="shared" si="24"/>
        <v>0.03436421598926609</v>
      </c>
      <c r="AF36" s="124">
        <f t="shared" si="24"/>
        <v>0.032853469871758856</v>
      </c>
      <c r="AG36" s="124">
        <f t="shared" si="24"/>
        <v>0.021764614619478317</v>
      </c>
      <c r="AH36" s="124">
        <f t="shared" si="24"/>
        <v>0.021764614619478317</v>
      </c>
      <c r="AI36" s="124">
        <f t="shared" si="24"/>
        <v>0.054079334379912414</v>
      </c>
      <c r="AJ36" s="124">
        <f t="shared" si="24"/>
        <v>0.032853469871758856</v>
      </c>
      <c r="AK36" s="126"/>
      <c r="AL36" s="124">
        <f t="shared" si="24"/>
        <v>0.06393000708728858</v>
      </c>
      <c r="AM36" s="124">
        <f t="shared" si="24"/>
        <v>0.06237607849747451</v>
      </c>
      <c r="AN36" s="126"/>
      <c r="AO36" s="124">
        <f>AO35^(1/26)-1</f>
        <v>0.035437599316535895</v>
      </c>
      <c r="AP36" s="124">
        <f>AP35^(1/26)-1</f>
        <v>0.04234777391133915</v>
      </c>
      <c r="AQ36" s="124">
        <f>AQ35^(1/26)-1</f>
        <v>0.03974639882505682</v>
      </c>
      <c r="AR36" s="124">
        <f>AR35^(1/26)-1</f>
        <v>0.013381736362194863</v>
      </c>
      <c r="AS36" s="103">
        <f>AS35^(1/26)-1</f>
        <v>0.020144717283565816</v>
      </c>
    </row>
    <row r="37" spans="1:45" ht="15">
      <c r="A37" s="20"/>
      <c r="B37" s="87"/>
      <c r="C37" s="87"/>
      <c r="D37" s="87"/>
      <c r="E37" s="87"/>
      <c r="F37" s="124"/>
      <c r="G37" s="124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4">
        <f>(1+U36)/(1+$AG36)-1</f>
        <v>0.06418870529562715</v>
      </c>
      <c r="V37" s="126"/>
      <c r="X37" s="126"/>
      <c r="Y37" s="126"/>
      <c r="Z37" s="124">
        <f>(1+Z36)/(1+$AG36)-1</f>
        <v>0.0677143051369018</v>
      </c>
      <c r="AA37" s="126"/>
      <c r="AB37" s="126"/>
      <c r="AC37" s="126"/>
      <c r="AD37" s="124">
        <f>(1+AD36)/(1+$AG36)-1</f>
        <v>0.032853469871758856</v>
      </c>
      <c r="AE37" s="126"/>
      <c r="AF37" s="126"/>
      <c r="AG37" s="126"/>
      <c r="AH37" s="126"/>
      <c r="AI37" s="126"/>
      <c r="AJ37" s="126"/>
      <c r="AK37" s="126"/>
      <c r="AL37" s="124">
        <f>(1+AL36)/(1+$AG36)-1</f>
        <v>0.04126722717199738</v>
      </c>
      <c r="AM37" s="124">
        <f>(1+AM36)/(1+$AG36)-1</f>
        <v>0.03974639882505682</v>
      </c>
      <c r="AN37" s="126"/>
      <c r="AO37" s="124">
        <f>(1+AO36)/(1+$AG36)-1</f>
        <v>0.013381736362194863</v>
      </c>
      <c r="AP37" s="124">
        <f>(1+AP36)/(1+$AG36)-1</f>
        <v>0.020144717283565594</v>
      </c>
      <c r="AQ37" s="124">
        <f>(1+AQ36)/(1+$AG36)-1</f>
        <v>0.017598754104706682</v>
      </c>
      <c r="AR37" s="124"/>
      <c r="AS37" s="103"/>
    </row>
    <row r="38" spans="1:45" ht="15">
      <c r="A38" s="20" t="s">
        <v>63</v>
      </c>
      <c r="B38" s="121">
        <f>B30/B10</f>
        <v>3.8150943396226413</v>
      </c>
      <c r="C38" s="121">
        <f>C30/C10</f>
        <v>6.257102770957559</v>
      </c>
      <c r="D38" s="87"/>
      <c r="E38" s="121"/>
      <c r="F38" s="121">
        <f>F30/F10</f>
        <v>1.4031470875495669</v>
      </c>
      <c r="G38" s="121">
        <f>G30/G10</f>
        <v>1.4895938138438307</v>
      </c>
      <c r="H38" s="121"/>
      <c r="I38" s="126"/>
      <c r="J38" s="126"/>
      <c r="K38" s="126"/>
      <c r="L38" s="121">
        <f>L30/L10</f>
        <v>1.6400912209798957</v>
      </c>
      <c r="M38" s="121">
        <f>M30/M10</f>
        <v>3.7894736842105265</v>
      </c>
      <c r="N38" s="121">
        <f>N30/N10</f>
        <v>4.091269841269841</v>
      </c>
      <c r="O38" s="121">
        <f>O30/O10</f>
        <v>1.079640652557319</v>
      </c>
      <c r="P38" s="121">
        <f>P30/P10</f>
        <v>1.2995357171488335</v>
      </c>
      <c r="Q38" s="126"/>
      <c r="R38" s="121">
        <f>R30/R10</f>
        <v>1.4567995768206765</v>
      </c>
      <c r="S38" s="121">
        <f>S30/S10</f>
        <v>1.4567995768206765</v>
      </c>
      <c r="T38" s="121">
        <f>T30/T10</f>
        <v>2.6666666666666665</v>
      </c>
      <c r="U38" s="121">
        <f>U30/U10</f>
        <v>3.2309237762735026</v>
      </c>
      <c r="V38" s="126"/>
      <c r="X38" s="121">
        <f>X30/X10</f>
        <v>1.4567995768206763</v>
      </c>
      <c r="Y38" s="121">
        <f>Y30/Y10</f>
        <v>3.3888888888888884</v>
      </c>
      <c r="Z38" s="121">
        <f>Z30/Z10</f>
        <v>3.4299783057975</v>
      </c>
      <c r="AA38" s="126"/>
      <c r="AB38" s="126"/>
      <c r="AC38" s="121">
        <f aca="true" t="shared" si="25" ref="AC38:AJ38">AC30/AC10</f>
        <v>2.876742127603745</v>
      </c>
      <c r="AD38" s="121">
        <f t="shared" si="25"/>
        <v>3.0001507051226284</v>
      </c>
      <c r="AE38" s="121">
        <f t="shared" si="25"/>
        <v>1.871994307423563</v>
      </c>
      <c r="AF38" s="121">
        <f t="shared" si="25"/>
        <v>1.9523004816843128</v>
      </c>
      <c r="AG38" s="121">
        <f>AG30/AG10</f>
        <v>1.5367258950498752</v>
      </c>
      <c r="AH38" s="121">
        <f>AH30/AH10</f>
        <v>1.5367258950498748</v>
      </c>
      <c r="AI38" s="121">
        <f t="shared" si="25"/>
        <v>2.6229147756168283</v>
      </c>
      <c r="AJ38" s="121">
        <f t="shared" si="25"/>
        <v>1.9523004816843132</v>
      </c>
      <c r="AK38" s="126"/>
      <c r="AL38" s="121">
        <f>AL30/AL10</f>
        <v>3.216482420174383</v>
      </c>
      <c r="AM38" s="121">
        <f>AM30/AM10</f>
        <v>3.3544654240312</v>
      </c>
      <c r="AN38" s="126"/>
      <c r="AO38" s="121">
        <f>AO30/AO10</f>
        <v>2.059412120142268</v>
      </c>
      <c r="AP38" s="121">
        <f>AP30/AP10</f>
        <v>2.30262657774242</v>
      </c>
      <c r="AQ38" s="121">
        <f>AQ30/AQ10</f>
        <v>2.182865164722385</v>
      </c>
      <c r="AR38" s="121">
        <f>AR30/AR10</f>
        <v>1.340129769906317</v>
      </c>
      <c r="AS38" s="102">
        <f>AS30/AS10</f>
        <v>1.498397720217819</v>
      </c>
    </row>
    <row r="39" spans="1:45" ht="15">
      <c r="A39" s="20"/>
      <c r="B39" s="124">
        <f>B38^(1/20)-1</f>
        <v>0.06924016457780002</v>
      </c>
      <c r="C39" s="124">
        <f>C38^(1/20)-1</f>
        <v>0.09602046751556248</v>
      </c>
      <c r="D39" s="87"/>
      <c r="E39" s="124"/>
      <c r="F39" s="124">
        <f>F38^(1/20)-1</f>
        <v>0.01708010676207805</v>
      </c>
      <c r="G39" s="124">
        <f>G38^(1/20)-1</f>
        <v>0.020125005023560183</v>
      </c>
      <c r="H39" s="124"/>
      <c r="I39" s="126"/>
      <c r="J39" s="126"/>
      <c r="K39" s="126"/>
      <c r="L39" s="124">
        <f>L38^(1/20)-1</f>
        <v>0.025046106102245114</v>
      </c>
      <c r="M39" s="124">
        <f>M38^(1/20)-1</f>
        <v>0.06887998470858059</v>
      </c>
      <c r="N39" s="124">
        <f>N38^(1/20)-1</f>
        <v>0.07298316065975285</v>
      </c>
      <c r="O39" s="124">
        <f>O38^(1/20)-1</f>
        <v>0.003838762077943647</v>
      </c>
      <c r="P39" s="124">
        <f>P38^(1/20)-1</f>
        <v>0.013186538568080053</v>
      </c>
      <c r="Q39" s="126"/>
      <c r="R39" s="124">
        <f>R38^(1/20)-1</f>
        <v>0.018990160284631408</v>
      </c>
      <c r="S39" s="124">
        <f>S38^(1/20)-1</f>
        <v>0.018990160284631408</v>
      </c>
      <c r="T39" s="124">
        <f>T38^(1/20)-1</f>
        <v>0.05026389656222596</v>
      </c>
      <c r="U39" s="124">
        <f>U38^(1/20)-1</f>
        <v>0.06039173880233517</v>
      </c>
      <c r="V39" s="126"/>
      <c r="X39" s="124">
        <f>X38^(1/20)-1</f>
        <v>0.018990160284631408</v>
      </c>
      <c r="Y39" s="124">
        <f>Y38^(1/20)-1</f>
        <v>0.06292559893299754</v>
      </c>
      <c r="Z39" s="124">
        <f>Z38^(1/20)-1</f>
        <v>0.06356630188788048</v>
      </c>
      <c r="AA39" s="126"/>
      <c r="AB39" s="126"/>
      <c r="AC39" s="124">
        <f aca="true" t="shared" si="26" ref="AC39:AM39">AC38^(1/20)-1</f>
        <v>0.05425348826958487</v>
      </c>
      <c r="AD39" s="124">
        <f t="shared" si="26"/>
        <v>0.05646996207014254</v>
      </c>
      <c r="AE39" s="124">
        <f t="shared" si="26"/>
        <v>0.03184681076215634</v>
      </c>
      <c r="AF39" s="124">
        <f t="shared" si="26"/>
        <v>0.03401617652446198</v>
      </c>
      <c r="AG39" s="124">
        <f t="shared" si="26"/>
        <v>0.021715120184243375</v>
      </c>
      <c r="AH39" s="124">
        <f t="shared" si="26"/>
        <v>0.021715120184243375</v>
      </c>
      <c r="AI39" s="124">
        <f t="shared" si="26"/>
        <v>0.04939552766404498</v>
      </c>
      <c r="AJ39" s="124">
        <f t="shared" si="26"/>
        <v>0.03401617652446198</v>
      </c>
      <c r="AK39" s="126"/>
      <c r="AL39" s="124">
        <f t="shared" si="26"/>
        <v>0.06015425096680205</v>
      </c>
      <c r="AM39" s="124">
        <f t="shared" si="26"/>
        <v>0.06238313059391598</v>
      </c>
      <c r="AN39" s="126"/>
      <c r="AO39" s="124">
        <f>AO38^(1/20)-1</f>
        <v>0.03678131864888856</v>
      </c>
      <c r="AP39" s="124">
        <f>AP38^(1/20)-1</f>
        <v>0.04258428785726798</v>
      </c>
      <c r="AQ39" s="124">
        <f>AQ38^(1/20)-1</f>
        <v>0.039803668954550675</v>
      </c>
      <c r="AR39" s="124">
        <f>AR38^(1/20)-1</f>
        <v>0.014745987572277741</v>
      </c>
      <c r="AS39" s="103">
        <f>AS38^(1/20)-1</f>
        <v>0.02042562281867899</v>
      </c>
    </row>
    <row r="40" spans="1:45" ht="15.75" thickBot="1">
      <c r="A40" s="104"/>
      <c r="B40" s="128"/>
      <c r="C40" s="128"/>
      <c r="D40" s="128"/>
      <c r="E40" s="128"/>
      <c r="F40" s="129"/>
      <c r="G40" s="128"/>
      <c r="H40" s="126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9">
        <f>(1+U39)/(1+$AG39)-1</f>
        <v>0.03785460139918184</v>
      </c>
      <c r="V40" s="128"/>
      <c r="X40" s="128"/>
      <c r="Y40" s="128"/>
      <c r="Z40" s="129">
        <f>(1+Z39)/(1+$AG39)-1</f>
        <v>0.04096169360407442</v>
      </c>
      <c r="AA40" s="128"/>
      <c r="AB40" s="128"/>
      <c r="AC40" s="128"/>
      <c r="AD40" s="129">
        <f>(1+AD39)/(1+$AG39)-1</f>
        <v>0.03401617652446198</v>
      </c>
      <c r="AE40" s="128"/>
      <c r="AF40" s="128"/>
      <c r="AG40" s="128"/>
      <c r="AH40" s="128"/>
      <c r="AI40" s="128"/>
      <c r="AJ40" s="128"/>
      <c r="AK40" s="128"/>
      <c r="AL40" s="129">
        <f>(1+AL39)/(1+$AG39)-1</f>
        <v>0.03762216103411187</v>
      </c>
      <c r="AM40" s="129">
        <f>(1+AM39)/(1+$AG39)-1</f>
        <v>0.039803668954550675</v>
      </c>
      <c r="AN40" s="128"/>
      <c r="AO40" s="129">
        <f>(1+AO39)/(1+$AG39)-1</f>
        <v>0.014745987572277741</v>
      </c>
      <c r="AP40" s="129">
        <f>(1+AP39)/(1+$AG39)-1</f>
        <v>0.02042562281867899</v>
      </c>
      <c r="AQ40" s="129">
        <f>(1+AQ39)/(1+$AG39)-1</f>
        <v>0.01770410206618589</v>
      </c>
      <c r="AR40" s="129"/>
      <c r="AS40" s="105"/>
    </row>
    <row r="41" spans="8:12" ht="15.75" thickTop="1">
      <c r="H41" s="131"/>
      <c r="L41">
        <v>2050</v>
      </c>
    </row>
    <row r="42" spans="8:12" ht="15">
      <c r="H42" s="131"/>
      <c r="L42">
        <v>2100</v>
      </c>
    </row>
    <row r="43" spans="4:8" ht="15">
      <c r="D43" s="58">
        <f>D$33*(1+F$36)^37</f>
        <v>0.07200038427818731</v>
      </c>
      <c r="H43" s="131"/>
    </row>
    <row r="44" spans="4:8" ht="15">
      <c r="D44" s="58">
        <f>D$33*(1+F$36)^87</f>
        <v>0.5959060973419065</v>
      </c>
      <c r="H44" s="131"/>
    </row>
    <row r="45" ht="15">
      <c r="H45" s="131"/>
    </row>
    <row r="46" ht="15">
      <c r="H46" s="131"/>
    </row>
    <row r="47" ht="15">
      <c r="H47" s="131"/>
    </row>
    <row r="48" ht="15">
      <c r="H48" s="131"/>
    </row>
    <row r="49" ht="15">
      <c r="H49" s="131"/>
    </row>
    <row r="50" ht="15">
      <c r="H50" s="131"/>
    </row>
    <row r="51" ht="15">
      <c r="H51" s="131"/>
    </row>
    <row r="52" ht="15">
      <c r="H52" s="131"/>
    </row>
    <row r="53" ht="15">
      <c r="H53" s="131"/>
    </row>
    <row r="54" ht="15">
      <c r="H54" s="131"/>
    </row>
    <row r="55" ht="15">
      <c r="H55" s="131"/>
    </row>
    <row r="56" ht="15">
      <c r="H56" s="131"/>
    </row>
    <row r="57" ht="15">
      <c r="H57" s="131"/>
    </row>
    <row r="58" ht="15">
      <c r="H58" s="131"/>
    </row>
    <row r="59" ht="15">
      <c r="H59" s="131"/>
    </row>
    <row r="60" ht="15">
      <c r="H60" s="131"/>
    </row>
    <row r="61" ht="15">
      <c r="H61" s="131"/>
    </row>
    <row r="62" ht="15">
      <c r="H62" s="131"/>
    </row>
    <row r="63" ht="15">
      <c r="H63" s="131"/>
    </row>
    <row r="64" ht="15">
      <c r="H64" s="131"/>
    </row>
    <row r="65" ht="15">
      <c r="H65" s="131"/>
    </row>
    <row r="66" ht="15">
      <c r="H66" s="131"/>
    </row>
    <row r="67" ht="15">
      <c r="H67" s="131"/>
    </row>
    <row r="68" ht="15">
      <c r="H68" s="131"/>
    </row>
    <row r="69" ht="15">
      <c r="H69" s="131"/>
    </row>
    <row r="70" ht="15">
      <c r="H70" s="131"/>
    </row>
    <row r="71" ht="15">
      <c r="H71" s="131"/>
    </row>
    <row r="72" ht="15">
      <c r="H72" s="131"/>
    </row>
    <row r="73" ht="15">
      <c r="H73" s="131"/>
    </row>
    <row r="74" ht="15">
      <c r="H74" s="131"/>
    </row>
    <row r="75" ht="15">
      <c r="H75" s="131"/>
    </row>
    <row r="76" ht="15">
      <c r="H76" s="131"/>
    </row>
    <row r="77" ht="15">
      <c r="H77" s="131"/>
    </row>
    <row r="78" ht="15">
      <c r="H78" s="131"/>
    </row>
    <row r="79" ht="15">
      <c r="H79" s="131"/>
    </row>
    <row r="80" ht="15">
      <c r="H80" s="131"/>
    </row>
    <row r="81" ht="15">
      <c r="H81" s="131"/>
    </row>
    <row r="82" ht="15">
      <c r="H82" s="131"/>
    </row>
    <row r="83" ht="15">
      <c r="H83" s="131"/>
    </row>
    <row r="84" ht="15">
      <c r="H84" s="131"/>
    </row>
    <row r="85" ht="15">
      <c r="H85" s="131"/>
    </row>
    <row r="86" ht="15">
      <c r="H86" s="131"/>
    </row>
    <row r="87" ht="15">
      <c r="H87" s="131"/>
    </row>
    <row r="88" ht="15">
      <c r="H88" s="131"/>
    </row>
    <row r="89" ht="15">
      <c r="H89" s="131"/>
    </row>
    <row r="90" ht="15">
      <c r="H90" s="131"/>
    </row>
    <row r="91" ht="15">
      <c r="H91" s="131"/>
    </row>
    <row r="92" ht="15">
      <c r="H92" s="131"/>
    </row>
    <row r="93" ht="15">
      <c r="H93" s="131"/>
    </row>
    <row r="94" ht="15">
      <c r="H94" s="131"/>
    </row>
    <row r="95" ht="15">
      <c r="H95" s="131"/>
    </row>
    <row r="96" ht="15">
      <c r="H96" s="131"/>
    </row>
    <row r="97" ht="15">
      <c r="H97" s="131"/>
    </row>
  </sheetData>
  <sheetProtection/>
  <mergeCells count="1">
    <mergeCell ref="A2:G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2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125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3.25390625" defaultRowHeight="15" customHeight="1"/>
  <cols>
    <col min="1" max="16384" width="13.25390625" style="14" customWidth="1"/>
  </cols>
  <sheetData>
    <row r="2" ht="15" customHeight="1" thickBot="1"/>
    <row r="3" spans="1:6" ht="15" customHeight="1" thickTop="1">
      <c r="A3" s="157" t="s">
        <v>136</v>
      </c>
      <c r="B3" s="158"/>
      <c r="C3" s="158"/>
      <c r="D3" s="158"/>
      <c r="E3" s="158"/>
      <c r="F3" s="159"/>
    </row>
    <row r="4" spans="1:6" ht="15" customHeight="1">
      <c r="A4" s="160"/>
      <c r="B4" s="161"/>
      <c r="C4" s="161"/>
      <c r="D4" s="161"/>
      <c r="E4" s="161"/>
      <c r="F4" s="162"/>
    </row>
    <row r="5" spans="1:9" ht="15" customHeight="1" thickBot="1">
      <c r="A5" s="163"/>
      <c r="B5" s="164"/>
      <c r="C5" s="164"/>
      <c r="D5" s="164"/>
      <c r="E5" s="164"/>
      <c r="F5" s="165"/>
      <c r="I5" s="27"/>
    </row>
    <row r="6" ht="15" customHeight="1" thickBot="1" thickTop="1">
      <c r="I6" s="27"/>
    </row>
    <row r="7" spans="1:22" ht="49.5" customHeight="1" thickBot="1" thickTop="1">
      <c r="A7" s="74" t="s">
        <v>126</v>
      </c>
      <c r="B7" s="82" t="s">
        <v>127</v>
      </c>
      <c r="C7" s="81" t="s">
        <v>0</v>
      </c>
      <c r="D7" s="75" t="s">
        <v>1</v>
      </c>
      <c r="E7" s="75" t="s">
        <v>2</v>
      </c>
      <c r="F7" s="76" t="s">
        <v>3</v>
      </c>
      <c r="G7" s="28"/>
      <c r="H7" s="11" t="s">
        <v>19</v>
      </c>
      <c r="I7" s="11" t="s">
        <v>4</v>
      </c>
      <c r="J7" s="9" t="s">
        <v>5</v>
      </c>
      <c r="K7" s="10" t="s">
        <v>6</v>
      </c>
      <c r="L7" s="12" t="s">
        <v>7</v>
      </c>
      <c r="M7" s="10" t="s">
        <v>8</v>
      </c>
      <c r="N7" s="11" t="s">
        <v>9</v>
      </c>
      <c r="O7" s="10" t="s">
        <v>10</v>
      </c>
      <c r="P7" s="12" t="s">
        <v>11</v>
      </c>
      <c r="Q7" s="13" t="s">
        <v>12</v>
      </c>
      <c r="R7" s="13" t="s">
        <v>13</v>
      </c>
      <c r="S7" s="13" t="s">
        <v>14</v>
      </c>
      <c r="T7" s="13" t="s">
        <v>15</v>
      </c>
      <c r="U7" s="13" t="s">
        <v>16</v>
      </c>
      <c r="V7" s="10" t="s">
        <v>17</v>
      </c>
    </row>
    <row r="8" spans="1:22" ht="15" customHeight="1" thickTop="1">
      <c r="A8" s="77">
        <v>1870</v>
      </c>
      <c r="B8" s="71">
        <f aca="true" t="shared" si="0" ref="B8:B31">SUMPRODUCT(C8:F8,C38:F38)</f>
        <v>4.469529333389138</v>
      </c>
      <c r="C8" s="71">
        <f aca="true" t="shared" si="1" ref="C8:C31">SUMPRODUCT(I8:K8,I38:K38)/C38</f>
        <v>5.844142548625236</v>
      </c>
      <c r="D8" s="71">
        <f aca="true" t="shared" si="2" ref="D8:D31">SUMPRODUCT(L8:M8,L38:M38)/D38</f>
        <v>4.161243837722769</v>
      </c>
      <c r="E8" s="71">
        <f aca="true" t="shared" si="3" ref="E8:E31">SUMPRODUCT(N8:O8,N38:O38)/E38</f>
        <v>2.2191579681517766</v>
      </c>
      <c r="F8" s="71">
        <f aca="true" t="shared" si="4" ref="F8:F31">SUMPRODUCT(P8:V8,P38:V38)/F38</f>
        <v>3.1815724157044145</v>
      </c>
      <c r="G8" s="29"/>
      <c r="H8" s="83">
        <f aca="true" t="shared" si="5" ref="H8:H31">SUMPRODUCT(I38:V38,I8:V8)</f>
        <v>4.469529333389138</v>
      </c>
      <c r="I8" s="83">
        <v>6.797734842776788</v>
      </c>
      <c r="J8" s="84">
        <v>3</v>
      </c>
      <c r="K8" s="85">
        <v>3</v>
      </c>
      <c r="L8" s="84">
        <v>4.458517732622884</v>
      </c>
      <c r="M8" s="84">
        <v>3</v>
      </c>
      <c r="N8" s="83">
        <v>3</v>
      </c>
      <c r="O8" s="85">
        <v>2</v>
      </c>
      <c r="P8" s="83">
        <v>3</v>
      </c>
      <c r="Q8" s="84">
        <v>3</v>
      </c>
      <c r="R8" s="84">
        <v>6</v>
      </c>
      <c r="S8" s="84">
        <v>3</v>
      </c>
      <c r="T8" s="84">
        <v>3</v>
      </c>
      <c r="U8" s="84">
        <v>3</v>
      </c>
      <c r="V8" s="85">
        <v>3</v>
      </c>
    </row>
    <row r="9" spans="1:22" ht="15" customHeight="1">
      <c r="A9" s="78">
        <v>1880</v>
      </c>
      <c r="B9" s="72">
        <f t="shared" si="0"/>
        <v>4.644941227825645</v>
      </c>
      <c r="C9" s="72">
        <f t="shared" si="1"/>
        <v>5.807802113237137</v>
      </c>
      <c r="D9" s="72">
        <f t="shared" si="2"/>
        <v>4.160770269137584</v>
      </c>
      <c r="E9" s="72">
        <f t="shared" si="3"/>
        <v>2.6829625511534343</v>
      </c>
      <c r="F9" s="72">
        <f t="shared" si="4"/>
        <v>3.463436922327869</v>
      </c>
      <c r="G9" s="29"/>
      <c r="H9" s="21">
        <f t="shared" si="5"/>
        <v>4.644941227825645</v>
      </c>
      <c r="I9" s="21">
        <v>6.713141020250169</v>
      </c>
      <c r="J9" s="22">
        <v>3.25</v>
      </c>
      <c r="K9" s="23">
        <v>3.25</v>
      </c>
      <c r="L9" s="22">
        <v>4.368345328127856</v>
      </c>
      <c r="M9" s="22">
        <v>3.25</v>
      </c>
      <c r="N9" s="21">
        <v>3.25</v>
      </c>
      <c r="O9" s="23">
        <v>2.5</v>
      </c>
      <c r="P9" s="21">
        <v>3.25</v>
      </c>
      <c r="Q9" s="22">
        <v>3.25</v>
      </c>
      <c r="R9" s="22">
        <v>6</v>
      </c>
      <c r="S9" s="22">
        <v>3.25</v>
      </c>
      <c r="T9" s="22">
        <v>3.25</v>
      </c>
      <c r="U9" s="22">
        <v>3.25</v>
      </c>
      <c r="V9" s="23">
        <v>3.25</v>
      </c>
    </row>
    <row r="10" spans="1:22" ht="15" customHeight="1">
      <c r="A10" s="78">
        <v>1890</v>
      </c>
      <c r="B10" s="72">
        <f t="shared" si="0"/>
        <v>4.734627618800186</v>
      </c>
      <c r="C10" s="72">
        <f t="shared" si="1"/>
        <v>5.661426476049316</v>
      </c>
      <c r="D10" s="72">
        <f t="shared" si="2"/>
        <v>4.539010044561466</v>
      </c>
      <c r="E10" s="72">
        <f t="shared" si="3"/>
        <v>3.1219750341022903</v>
      </c>
      <c r="F10" s="72">
        <f t="shared" si="4"/>
        <v>3.6940335657526093</v>
      </c>
      <c r="G10" s="29"/>
      <c r="H10" s="21">
        <f t="shared" si="5"/>
        <v>4.734627618800185</v>
      </c>
      <c r="I10" s="21">
        <v>6.426467474838301</v>
      </c>
      <c r="J10" s="22">
        <v>3.5</v>
      </c>
      <c r="K10" s="23">
        <v>3.5</v>
      </c>
      <c r="L10" s="22">
        <v>4.775812428872445</v>
      </c>
      <c r="M10" s="22">
        <v>3.5</v>
      </c>
      <c r="N10" s="21">
        <v>3.5</v>
      </c>
      <c r="O10" s="23">
        <v>3</v>
      </c>
      <c r="P10" s="21">
        <v>3.5</v>
      </c>
      <c r="Q10" s="22">
        <v>3.5</v>
      </c>
      <c r="R10" s="22">
        <v>6</v>
      </c>
      <c r="S10" s="22">
        <v>3.5</v>
      </c>
      <c r="T10" s="22">
        <v>3.5</v>
      </c>
      <c r="U10" s="22">
        <v>3.5</v>
      </c>
      <c r="V10" s="23">
        <v>3.5</v>
      </c>
    </row>
    <row r="11" spans="1:22" ht="15" customHeight="1">
      <c r="A11" s="78">
        <v>1900</v>
      </c>
      <c r="B11" s="72">
        <f t="shared" si="0"/>
        <v>4.887788188920047</v>
      </c>
      <c r="C11" s="72">
        <f t="shared" si="1"/>
        <v>5.873038350426321</v>
      </c>
      <c r="D11" s="72">
        <f t="shared" si="2"/>
        <v>4.34194241328735</v>
      </c>
      <c r="E11" s="72">
        <f t="shared" si="3"/>
        <v>3.560987517051145</v>
      </c>
      <c r="F11" s="72">
        <f t="shared" si="4"/>
        <v>3.924630209177348</v>
      </c>
      <c r="G11" s="29"/>
      <c r="H11" s="21">
        <f t="shared" si="5"/>
        <v>4.887788188920048</v>
      </c>
      <c r="I11" s="21">
        <v>6.6244917993755665</v>
      </c>
      <c r="J11" s="22">
        <v>3.75</v>
      </c>
      <c r="K11" s="23">
        <v>3.75</v>
      </c>
      <c r="L11" s="22">
        <v>4.4768529231278995</v>
      </c>
      <c r="M11" s="22">
        <v>3.75</v>
      </c>
      <c r="N11" s="21">
        <v>3.75</v>
      </c>
      <c r="O11" s="23">
        <v>3.5</v>
      </c>
      <c r="P11" s="21">
        <v>3.75</v>
      </c>
      <c r="Q11" s="22">
        <v>3.75</v>
      </c>
      <c r="R11" s="22">
        <v>6</v>
      </c>
      <c r="S11" s="22">
        <v>3.75</v>
      </c>
      <c r="T11" s="22">
        <v>3.75</v>
      </c>
      <c r="U11" s="22">
        <v>3.75</v>
      </c>
      <c r="V11" s="23">
        <v>3.75</v>
      </c>
    </row>
    <row r="12" spans="1:22" ht="15" customHeight="1">
      <c r="A12" s="79">
        <v>1910</v>
      </c>
      <c r="B12" s="72">
        <f t="shared" si="0"/>
        <v>5.019197051858351</v>
      </c>
      <c r="C12" s="72">
        <f t="shared" si="1"/>
        <v>5.887516892168041</v>
      </c>
      <c r="D12" s="72">
        <f t="shared" si="2"/>
        <v>4.329208273471542</v>
      </c>
      <c r="E12" s="72">
        <f t="shared" si="3"/>
        <v>4.000000000000001</v>
      </c>
      <c r="F12" s="72">
        <f t="shared" si="4"/>
        <v>4.2058802582722485</v>
      </c>
      <c r="G12" s="29"/>
      <c r="H12" s="21">
        <f t="shared" si="5"/>
        <v>5.019197051858351</v>
      </c>
      <c r="I12" s="21">
        <v>6.59077952588622</v>
      </c>
      <c r="J12" s="22">
        <v>4</v>
      </c>
      <c r="K12" s="23">
        <v>4</v>
      </c>
      <c r="L12" s="22">
        <v>4.399925777688254</v>
      </c>
      <c r="M12" s="22">
        <v>4</v>
      </c>
      <c r="N12" s="21">
        <v>4</v>
      </c>
      <c r="O12" s="23">
        <v>4</v>
      </c>
      <c r="P12" s="21">
        <v>4</v>
      </c>
      <c r="Q12" s="22">
        <v>4</v>
      </c>
      <c r="R12" s="22">
        <v>6</v>
      </c>
      <c r="S12" s="22">
        <v>4</v>
      </c>
      <c r="T12" s="22">
        <v>4</v>
      </c>
      <c r="U12" s="22">
        <v>4</v>
      </c>
      <c r="V12" s="23">
        <v>4</v>
      </c>
    </row>
    <row r="13" spans="1:22" ht="15" customHeight="1">
      <c r="A13" s="79">
        <v>1920</v>
      </c>
      <c r="B13" s="72">
        <f t="shared" si="0"/>
        <v>3.576347699552414</v>
      </c>
      <c r="C13" s="72">
        <f t="shared" si="1"/>
        <v>2.845217340528448</v>
      </c>
      <c r="D13" s="72">
        <f t="shared" si="2"/>
        <v>4.055901787336065</v>
      </c>
      <c r="E13" s="72">
        <f t="shared" si="3"/>
        <v>4.000000000000001</v>
      </c>
      <c r="F13" s="72">
        <f t="shared" si="4"/>
        <v>4.248733630358642</v>
      </c>
      <c r="G13" s="29"/>
      <c r="H13" s="21">
        <f t="shared" si="5"/>
        <v>3.5763476995524144</v>
      </c>
      <c r="I13" s="21">
        <v>3.434995554715314</v>
      </c>
      <c r="J13" s="22">
        <v>2</v>
      </c>
      <c r="K13" s="23">
        <v>1</v>
      </c>
      <c r="L13" s="22">
        <v>4.069466877711821</v>
      </c>
      <c r="M13" s="22">
        <v>4</v>
      </c>
      <c r="N13" s="21">
        <v>4</v>
      </c>
      <c r="O13" s="23">
        <v>4</v>
      </c>
      <c r="P13" s="21">
        <v>4</v>
      </c>
      <c r="Q13" s="22">
        <v>4</v>
      </c>
      <c r="R13" s="22">
        <v>6</v>
      </c>
      <c r="S13" s="22">
        <v>4</v>
      </c>
      <c r="T13" s="22">
        <v>4</v>
      </c>
      <c r="U13" s="22">
        <v>4</v>
      </c>
      <c r="V13" s="23">
        <v>4</v>
      </c>
    </row>
    <row r="14" spans="1:22" ht="15" customHeight="1">
      <c r="A14" s="79">
        <v>1930</v>
      </c>
      <c r="B14" s="72">
        <f t="shared" si="0"/>
        <v>3.611586819813277</v>
      </c>
      <c r="C14" s="72">
        <f t="shared" si="1"/>
        <v>3.1496686403961047</v>
      </c>
      <c r="D14" s="72">
        <f t="shared" si="2"/>
        <v>4.491294901381573</v>
      </c>
      <c r="E14" s="72">
        <f t="shared" si="3"/>
        <v>3.000000000000001</v>
      </c>
      <c r="F14" s="72">
        <f t="shared" si="4"/>
        <v>3.420583705081853</v>
      </c>
      <c r="G14" s="29"/>
      <c r="H14" s="21">
        <f t="shared" si="5"/>
        <v>3.611586819813276</v>
      </c>
      <c r="I14" s="21">
        <v>3.862263673841133</v>
      </c>
      <c r="J14" s="22">
        <v>2</v>
      </c>
      <c r="K14" s="23">
        <v>1</v>
      </c>
      <c r="L14" s="22">
        <v>4.8531715260506605</v>
      </c>
      <c r="M14" s="22">
        <v>3</v>
      </c>
      <c r="N14" s="21">
        <v>3</v>
      </c>
      <c r="O14" s="23">
        <v>3</v>
      </c>
      <c r="P14" s="21">
        <v>3</v>
      </c>
      <c r="Q14" s="22">
        <v>3</v>
      </c>
      <c r="R14" s="22">
        <v>6</v>
      </c>
      <c r="S14" s="22">
        <v>4</v>
      </c>
      <c r="T14" s="22">
        <v>3</v>
      </c>
      <c r="U14" s="22">
        <v>3</v>
      </c>
      <c r="V14" s="23">
        <v>3</v>
      </c>
    </row>
    <row r="15" spans="1:22" ht="15" customHeight="1">
      <c r="A15" s="79">
        <v>1940</v>
      </c>
      <c r="B15" s="72">
        <f t="shared" si="0"/>
        <v>3.0097212643966422</v>
      </c>
      <c r="C15" s="72">
        <f t="shared" si="1"/>
        <v>2.7316745064236083</v>
      </c>
      <c r="D15" s="72">
        <f t="shared" si="2"/>
        <v>3.2243100451480955</v>
      </c>
      <c r="E15" s="72">
        <f t="shared" si="3"/>
        <v>3.000000000000001</v>
      </c>
      <c r="F15" s="72">
        <f t="shared" si="4"/>
        <v>3.2487336303586423</v>
      </c>
      <c r="G15" s="29"/>
      <c r="H15" s="21">
        <f t="shared" si="5"/>
        <v>3.0097212643966413</v>
      </c>
      <c r="I15" s="21">
        <v>3.275649106894995</v>
      </c>
      <c r="J15" s="22">
        <v>2</v>
      </c>
      <c r="K15" s="23">
        <v>1</v>
      </c>
      <c r="L15" s="22">
        <v>3.278740970877382</v>
      </c>
      <c r="M15" s="22">
        <v>3</v>
      </c>
      <c r="N15" s="21">
        <v>3</v>
      </c>
      <c r="O15" s="23">
        <v>3</v>
      </c>
      <c r="P15" s="21">
        <v>3</v>
      </c>
      <c r="Q15" s="22">
        <v>3</v>
      </c>
      <c r="R15" s="22">
        <v>5</v>
      </c>
      <c r="S15" s="22">
        <v>3</v>
      </c>
      <c r="T15" s="22">
        <v>3</v>
      </c>
      <c r="U15" s="22">
        <v>3</v>
      </c>
      <c r="V15" s="23">
        <v>3</v>
      </c>
    </row>
    <row r="16" spans="1:22" ht="15" customHeight="1">
      <c r="A16" s="79">
        <v>1950</v>
      </c>
      <c r="B16" s="72">
        <f t="shared" si="0"/>
        <v>2.612320277464436</v>
      </c>
      <c r="C16" s="72">
        <f t="shared" si="1"/>
        <v>1.9177669300758935</v>
      </c>
      <c r="D16" s="72">
        <f t="shared" si="2"/>
        <v>3.4450578689209057</v>
      </c>
      <c r="E16" s="72">
        <f t="shared" si="3"/>
        <v>3</v>
      </c>
      <c r="F16" s="72">
        <f t="shared" si="4"/>
        <v>2.4027327076275133</v>
      </c>
      <c r="G16" s="29"/>
      <c r="H16" s="21">
        <f t="shared" si="5"/>
        <v>2.6123202774644367</v>
      </c>
      <c r="I16" s="21">
        <v>2.3234388423458228</v>
      </c>
      <c r="J16" s="22">
        <v>1</v>
      </c>
      <c r="K16" s="23">
        <v>1</v>
      </c>
      <c r="L16" s="22">
        <v>3.561576669156209</v>
      </c>
      <c r="M16" s="22">
        <v>3</v>
      </c>
      <c r="N16" s="21">
        <v>3</v>
      </c>
      <c r="O16" s="23">
        <v>3</v>
      </c>
      <c r="P16" s="21">
        <v>1</v>
      </c>
      <c r="Q16" s="22">
        <v>3</v>
      </c>
      <c r="R16" s="22">
        <v>2</v>
      </c>
      <c r="S16" s="22">
        <v>3</v>
      </c>
      <c r="T16" s="22">
        <v>3</v>
      </c>
      <c r="U16" s="22">
        <v>3</v>
      </c>
      <c r="V16" s="23">
        <v>3</v>
      </c>
    </row>
    <row r="17" spans="1:22" ht="15" customHeight="1">
      <c r="A17" s="79">
        <v>1960</v>
      </c>
      <c r="B17" s="72">
        <f t="shared" si="0"/>
        <v>2.7540073873501356</v>
      </c>
      <c r="C17" s="72">
        <f t="shared" si="1"/>
        <v>2.1643005059213936</v>
      </c>
      <c r="D17" s="72">
        <f t="shared" si="2"/>
        <v>3.474804042936797</v>
      </c>
      <c r="E17" s="72">
        <f t="shared" si="3"/>
        <v>3</v>
      </c>
      <c r="F17" s="72">
        <f t="shared" si="4"/>
        <v>2.6494002309253113</v>
      </c>
      <c r="G17" s="29"/>
      <c r="H17" s="21">
        <f t="shared" si="5"/>
        <v>2.7540073873501356</v>
      </c>
      <c r="I17" s="21">
        <v>2.673018022803605</v>
      </c>
      <c r="J17" s="22">
        <v>1</v>
      </c>
      <c r="K17" s="23">
        <v>1</v>
      </c>
      <c r="L17" s="22">
        <v>3.614977069424808</v>
      </c>
      <c r="M17" s="22">
        <v>3</v>
      </c>
      <c r="N17" s="21">
        <v>3</v>
      </c>
      <c r="O17" s="23">
        <v>3</v>
      </c>
      <c r="P17" s="21">
        <v>1</v>
      </c>
      <c r="Q17" s="22">
        <v>3</v>
      </c>
      <c r="R17" s="22">
        <v>3</v>
      </c>
      <c r="S17" s="22">
        <v>3</v>
      </c>
      <c r="T17" s="22">
        <v>3</v>
      </c>
      <c r="U17" s="22">
        <v>3</v>
      </c>
      <c r="V17" s="23">
        <v>3</v>
      </c>
    </row>
    <row r="18" spans="1:22" ht="15" customHeight="1">
      <c r="A18" s="79">
        <v>1970</v>
      </c>
      <c r="B18" s="72">
        <f t="shared" si="0"/>
        <v>3.032023700270541</v>
      </c>
      <c r="C18" s="72">
        <f t="shared" si="1"/>
        <v>2.292763081719378</v>
      </c>
      <c r="D18" s="72">
        <f t="shared" si="2"/>
        <v>3.4904020671409595</v>
      </c>
      <c r="E18" s="72">
        <f t="shared" si="3"/>
        <v>4</v>
      </c>
      <c r="F18" s="72">
        <f t="shared" si="4"/>
        <v>3.477328210041419</v>
      </c>
      <c r="G18" s="29"/>
      <c r="H18" s="21">
        <f t="shared" si="5"/>
        <v>3.0320237002705417</v>
      </c>
      <c r="I18" s="21">
        <v>2.8511052977721274</v>
      </c>
      <c r="J18" s="22">
        <v>1</v>
      </c>
      <c r="K18" s="23">
        <v>1</v>
      </c>
      <c r="L18" s="22">
        <v>3.3197765398596837</v>
      </c>
      <c r="M18" s="22">
        <v>4</v>
      </c>
      <c r="N18" s="21">
        <v>4</v>
      </c>
      <c r="O18" s="23">
        <v>4</v>
      </c>
      <c r="P18" s="21">
        <v>1</v>
      </c>
      <c r="Q18" s="22">
        <v>4</v>
      </c>
      <c r="R18" s="22">
        <v>3.7172574378316936</v>
      </c>
      <c r="S18" s="22">
        <v>3.427758553398521</v>
      </c>
      <c r="T18" s="22">
        <v>4</v>
      </c>
      <c r="U18" s="22">
        <v>4</v>
      </c>
      <c r="V18" s="23">
        <v>4</v>
      </c>
    </row>
    <row r="19" spans="1:22" ht="15" customHeight="1">
      <c r="A19" s="79">
        <v>1980</v>
      </c>
      <c r="B19" s="72">
        <f t="shared" si="0"/>
        <v>3.401402209320093</v>
      </c>
      <c r="C19" s="72">
        <f t="shared" si="1"/>
        <v>2.6439515504865447</v>
      </c>
      <c r="D19" s="72">
        <f t="shared" si="2"/>
        <v>3.679716989964816</v>
      </c>
      <c r="E19" s="72">
        <f t="shared" si="3"/>
        <v>4</v>
      </c>
      <c r="F19" s="72">
        <f t="shared" si="4"/>
        <v>4.012395736718492</v>
      </c>
      <c r="G19" s="29"/>
      <c r="H19" s="21">
        <f t="shared" si="5"/>
        <v>3.401402209320093</v>
      </c>
      <c r="I19" s="21">
        <v>3.3115208947461983</v>
      </c>
      <c r="J19" s="22">
        <v>1</v>
      </c>
      <c r="K19" s="23">
        <v>1</v>
      </c>
      <c r="L19" s="22">
        <v>3.57095031363594</v>
      </c>
      <c r="M19" s="22">
        <v>4</v>
      </c>
      <c r="N19" s="21">
        <v>4</v>
      </c>
      <c r="O19" s="23">
        <v>4</v>
      </c>
      <c r="P19" s="21">
        <v>1</v>
      </c>
      <c r="Q19" s="22">
        <v>4</v>
      </c>
      <c r="R19" s="22">
        <v>5.31377150846835</v>
      </c>
      <c r="S19" s="22">
        <v>3.507247523352968</v>
      </c>
      <c r="T19" s="22">
        <v>4</v>
      </c>
      <c r="U19" s="22">
        <v>4</v>
      </c>
      <c r="V19" s="23">
        <v>4</v>
      </c>
    </row>
    <row r="20" spans="1:22" ht="15" customHeight="1">
      <c r="A20" s="79">
        <v>1990</v>
      </c>
      <c r="B20" s="72">
        <f t="shared" si="0"/>
        <v>3.934174381055243</v>
      </c>
      <c r="C20" s="72">
        <f t="shared" si="1"/>
        <v>3.4711322571786645</v>
      </c>
      <c r="D20" s="72">
        <f t="shared" si="2"/>
        <v>3.942783435419407</v>
      </c>
      <c r="E20" s="72">
        <f t="shared" si="3"/>
        <v>4.000000000000001</v>
      </c>
      <c r="F20" s="72">
        <f t="shared" si="4"/>
        <v>4.446829433209771</v>
      </c>
      <c r="G20" s="29"/>
      <c r="H20" s="21">
        <f t="shared" si="5"/>
        <v>3.9341743810552425</v>
      </c>
      <c r="I20" s="21">
        <v>4.025684939128149</v>
      </c>
      <c r="J20" s="22">
        <v>2</v>
      </c>
      <c r="K20" s="23">
        <v>2</v>
      </c>
      <c r="L20" s="22">
        <v>3.92308528817249</v>
      </c>
      <c r="M20" s="22">
        <v>4</v>
      </c>
      <c r="N20" s="21">
        <v>4</v>
      </c>
      <c r="O20" s="23">
        <v>4</v>
      </c>
      <c r="P20" s="21">
        <v>2</v>
      </c>
      <c r="Q20" s="22">
        <v>4</v>
      </c>
      <c r="R20" s="22">
        <v>6.164495160516299</v>
      </c>
      <c r="S20" s="22">
        <v>4.072985531385611</v>
      </c>
      <c r="T20" s="22">
        <v>4</v>
      </c>
      <c r="U20" s="22">
        <v>4</v>
      </c>
      <c r="V20" s="23">
        <v>4</v>
      </c>
    </row>
    <row r="21" spans="1:22" ht="15" customHeight="1">
      <c r="A21" s="79">
        <v>2000</v>
      </c>
      <c r="B21" s="72">
        <f t="shared" si="0"/>
        <v>4.269879558546112</v>
      </c>
      <c r="C21" s="72">
        <f t="shared" si="1"/>
        <v>4.369888130235556</v>
      </c>
      <c r="D21" s="72">
        <f t="shared" si="2"/>
        <v>4.335500753310192</v>
      </c>
      <c r="E21" s="72">
        <f t="shared" si="3"/>
        <v>4</v>
      </c>
      <c r="F21" s="72">
        <f t="shared" si="4"/>
        <v>4.159486670160161</v>
      </c>
      <c r="G21" s="29"/>
      <c r="H21" s="21">
        <f t="shared" si="5"/>
        <v>4.269879558546112</v>
      </c>
      <c r="I21" s="21">
        <v>4.900388745980692</v>
      </c>
      <c r="J21" s="22">
        <v>3</v>
      </c>
      <c r="K21" s="23">
        <v>3</v>
      </c>
      <c r="L21" s="22">
        <v>4.465608544749897</v>
      </c>
      <c r="M21" s="22">
        <v>4</v>
      </c>
      <c r="N21" s="21">
        <v>4</v>
      </c>
      <c r="O21" s="23">
        <v>4</v>
      </c>
      <c r="P21" s="21">
        <v>3</v>
      </c>
      <c r="Q21" s="22">
        <v>4</v>
      </c>
      <c r="R21" s="22">
        <v>5.862593274890099</v>
      </c>
      <c r="S21" s="22">
        <v>4.998095754495109</v>
      </c>
      <c r="T21" s="22">
        <v>4</v>
      </c>
      <c r="U21" s="22">
        <v>4</v>
      </c>
      <c r="V21" s="23">
        <v>4</v>
      </c>
    </row>
    <row r="22" spans="1:22" ht="15" customHeight="1">
      <c r="A22" s="79">
        <v>2010</v>
      </c>
      <c r="B22" s="72">
        <f t="shared" si="0"/>
        <v>4.398796337405904</v>
      </c>
      <c r="C22" s="72">
        <f t="shared" si="1"/>
        <v>5.033509083520088</v>
      </c>
      <c r="D22" s="72">
        <f t="shared" si="2"/>
        <v>4.068830930378975</v>
      </c>
      <c r="E22" s="72">
        <f t="shared" si="3"/>
        <v>4</v>
      </c>
      <c r="F22" s="72">
        <f t="shared" si="4"/>
        <v>4.28603349865419</v>
      </c>
      <c r="G22" s="29"/>
      <c r="H22" s="21">
        <f t="shared" si="5"/>
        <v>4.398796337405904</v>
      </c>
      <c r="I22" s="21">
        <v>5.448371371833821</v>
      </c>
      <c r="J22" s="22">
        <v>4</v>
      </c>
      <c r="K22" s="23">
        <v>4</v>
      </c>
      <c r="L22" s="21">
        <v>4.099218953934022</v>
      </c>
      <c r="M22" s="22">
        <v>4</v>
      </c>
      <c r="N22" s="21">
        <v>4</v>
      </c>
      <c r="O22" s="23">
        <v>4</v>
      </c>
      <c r="P22" s="21">
        <v>4</v>
      </c>
      <c r="Q22" s="22">
        <v>4</v>
      </c>
      <c r="R22" s="22">
        <v>6.012374851112389</v>
      </c>
      <c r="S22" s="22">
        <v>5.179118492312654</v>
      </c>
      <c r="T22" s="22">
        <v>4</v>
      </c>
      <c r="U22" s="22">
        <v>4</v>
      </c>
      <c r="V22" s="23">
        <v>4</v>
      </c>
    </row>
    <row r="23" spans="1:22" ht="15" customHeight="1">
      <c r="A23" s="79">
        <v>2020</v>
      </c>
      <c r="B23" s="72">
        <f t="shared" si="0"/>
        <v>4.496258851418123</v>
      </c>
      <c r="C23" s="72">
        <f t="shared" si="1"/>
        <v>4.932010304027894</v>
      </c>
      <c r="D23" s="72">
        <f t="shared" si="2"/>
        <v>4.225959764079466</v>
      </c>
      <c r="E23" s="72">
        <f t="shared" si="3"/>
        <v>3.4804634523704325</v>
      </c>
      <c r="F23" s="72">
        <f t="shared" si="4"/>
        <v>4.570314125164143</v>
      </c>
      <c r="G23" s="29"/>
      <c r="H23" s="21">
        <f t="shared" si="5"/>
        <v>4.496258851418122</v>
      </c>
      <c r="I23" s="21">
        <f aca="true" t="shared" si="6" ref="I23:I31">(I22*I52*$G52+10*I63*(I52*$G52+I53*$G53)/2)/(I53*$G53)</f>
        <v>5.408332090217958</v>
      </c>
      <c r="J23" s="22">
        <f aca="true" t="shared" si="7" ref="J23:J31">(J22*J52*$G52+10*J63*(J52*$G52+J53*$G53)/2)/(J53*$G53)</f>
        <v>3.8305074196556843</v>
      </c>
      <c r="K23" s="23">
        <f aca="true" t="shared" si="8" ref="K23:K31">(K22*K52*$G52+10*K63*(K52*$G52+K53*$G53)/2)/(K53*$G53)</f>
        <v>3.877325927319767</v>
      </c>
      <c r="L23" s="22">
        <f aca="true" t="shared" si="9" ref="L23:L31">(L22*L52*$G52+10*L63*(L52*$G52+L53*$G53)/2)/(L53*$G53)</f>
        <v>4.143870073751125</v>
      </c>
      <c r="M23" s="22">
        <f aca="true" t="shared" si="10" ref="M23:M31">(M22*M52*$G52+10*M63*(M52*$G52+M53*$G53)/2)/(M53*$G53)</f>
        <v>4.384835881004747</v>
      </c>
      <c r="N23" s="21">
        <f aca="true" t="shared" si="11" ref="N23:N31">(N22*N52*$G52+10*N63*(N52*$G52+N53*$G53)/2)/(N53*$G53)</f>
        <v>3.7121519095789797</v>
      </c>
      <c r="O23" s="23">
        <f aca="true" t="shared" si="12" ref="O23:O31">(O22*O52*$G52+10*O63*(O52*$G52+O53*$G53)/2)/(O53*$G53)</f>
        <v>3.3724385707978004</v>
      </c>
      <c r="P23" s="21">
        <f aca="true" t="shared" si="13" ref="P23:P31">(P22*P52*$G52+10*P63*(P52*$G52+P53*$G53)/2)/(P53*$G53)</f>
        <v>4.7978771164314225</v>
      </c>
      <c r="Q23" s="22">
        <f aca="true" t="shared" si="14" ref="Q23:Q31">(Q22*Q52*$G52+10*Q63*(Q52*$G52+Q53*$G53)/2)/(Q53*$G53)</f>
        <v>3.724196055921984</v>
      </c>
      <c r="R23" s="22">
        <f aca="true" t="shared" si="15" ref="R23:R31">(R22*R52*$G52+10*R63*(R52*$G52+R53*$G53)/2)/(R53*$G53)</f>
        <v>6.0684774275462035</v>
      </c>
      <c r="S23" s="22">
        <f aca="true" t="shared" si="16" ref="S23:S31">(S22*S52*$G52+10*S63*(S52*$G52+S53*$G53)/2)/(S53*$G53)</f>
        <v>4.901634028360705</v>
      </c>
      <c r="T23" s="22">
        <f aca="true" t="shared" si="17" ref="T23:T31">(T22*T52*$G52+10*T63*(T52*$G52+T53*$G53)/2)/(T53*$G53)</f>
        <v>4.2058441597847835</v>
      </c>
      <c r="U23" s="22">
        <f aca="true" t="shared" si="18" ref="U23:U31">(U22*U52*$G52+10*U63*(U52*$G52+U53*$G53)/2)/(U53*$G53)</f>
        <v>4.38700059694706</v>
      </c>
      <c r="V23" s="23">
        <f aca="true" t="shared" si="19" ref="V23:V31">(V22*V52*$G52+10*V63*(V52*$G52+V53*$G53)/2)/(V53*$G53)</f>
        <v>4.33765621970324</v>
      </c>
    </row>
    <row r="24" spans="1:22" ht="15" customHeight="1">
      <c r="A24" s="79">
        <v>2030</v>
      </c>
      <c r="B24" s="72">
        <f t="shared" si="0"/>
        <v>5.018713448396677</v>
      </c>
      <c r="C24" s="72">
        <f t="shared" si="1"/>
        <v>5.398639500294532</v>
      </c>
      <c r="D24" s="72">
        <f t="shared" si="2"/>
        <v>4.7759485149248535</v>
      </c>
      <c r="E24" s="72">
        <f t="shared" si="3"/>
        <v>3.6691820319176762</v>
      </c>
      <c r="F24" s="72">
        <f t="shared" si="4"/>
        <v>5.192014419962248</v>
      </c>
      <c r="G24" s="29"/>
      <c r="H24" s="21">
        <f t="shared" si="5"/>
        <v>5.018713448396679</v>
      </c>
      <c r="I24" s="21">
        <f t="shared" si="6"/>
        <v>6.054891066750554</v>
      </c>
      <c r="J24" s="22">
        <f t="shared" si="7"/>
        <v>4.042169743147695</v>
      </c>
      <c r="K24" s="23">
        <f t="shared" si="8"/>
        <v>4.138329214262523</v>
      </c>
      <c r="L24" s="22">
        <f t="shared" si="9"/>
        <v>4.627643582577199</v>
      </c>
      <c r="M24" s="22">
        <f t="shared" si="10"/>
        <v>5.01683650588407</v>
      </c>
      <c r="N24" s="21">
        <f t="shared" si="11"/>
        <v>3.9599073036303594</v>
      </c>
      <c r="O24" s="23">
        <f t="shared" si="12"/>
        <v>3.543643819585014</v>
      </c>
      <c r="P24" s="21">
        <f t="shared" si="13"/>
        <v>5.740633640168847</v>
      </c>
      <c r="Q24" s="22">
        <f t="shared" si="14"/>
        <v>3.9758877087381572</v>
      </c>
      <c r="R24" s="22">
        <f t="shared" si="15"/>
        <v>7.018034657799006</v>
      </c>
      <c r="S24" s="22">
        <f t="shared" si="16"/>
        <v>5.167626167979742</v>
      </c>
      <c r="T24" s="22">
        <f t="shared" si="17"/>
        <v>4.698731450147107</v>
      </c>
      <c r="U24" s="22">
        <f t="shared" si="18"/>
        <v>5.02087808222984</v>
      </c>
      <c r="V24" s="23">
        <f t="shared" si="19"/>
        <v>4.929947082996289</v>
      </c>
    </row>
    <row r="25" spans="1:22" ht="15" customHeight="1">
      <c r="A25" s="79">
        <v>2040</v>
      </c>
      <c r="B25" s="72">
        <f t="shared" si="0"/>
        <v>5.133097636879297</v>
      </c>
      <c r="C25" s="72">
        <f t="shared" si="1"/>
        <v>5.293628307526827</v>
      </c>
      <c r="D25" s="72">
        <f t="shared" si="2"/>
        <v>4.89775836897777</v>
      </c>
      <c r="E25" s="72">
        <f t="shared" si="3"/>
        <v>3.5267423298629046</v>
      </c>
      <c r="F25" s="72">
        <f t="shared" si="4"/>
        <v>5.477466166565679</v>
      </c>
      <c r="G25" s="29"/>
      <c r="H25" s="21">
        <f t="shared" si="5"/>
        <v>5.133097636879297</v>
      </c>
      <c r="I25" s="21">
        <f t="shared" si="6"/>
        <v>5.957938595390019</v>
      </c>
      <c r="J25" s="22">
        <f t="shared" si="7"/>
        <v>4.013263386918214</v>
      </c>
      <c r="K25" s="23">
        <f t="shared" si="8"/>
        <v>4.1057760454532986</v>
      </c>
      <c r="L25" s="22">
        <f t="shared" si="9"/>
        <v>4.593496632833971</v>
      </c>
      <c r="M25" s="22">
        <f t="shared" si="10"/>
        <v>5.344781522969015</v>
      </c>
      <c r="N25" s="21">
        <f t="shared" si="11"/>
        <v>4.008462318449959</v>
      </c>
      <c r="O25" s="23">
        <f t="shared" si="12"/>
        <v>3.349416294888421</v>
      </c>
      <c r="P25" s="21">
        <f t="shared" si="13"/>
        <v>6.344054928145795</v>
      </c>
      <c r="Q25" s="22">
        <f t="shared" si="14"/>
        <v>4.019521036786243</v>
      </c>
      <c r="R25" s="22">
        <f t="shared" si="15"/>
        <v>7.039491070694668</v>
      </c>
      <c r="S25" s="22">
        <f t="shared" si="16"/>
        <v>5.0048114785649505</v>
      </c>
      <c r="T25" s="22">
        <f t="shared" si="17"/>
        <v>4.89125902776801</v>
      </c>
      <c r="U25" s="22">
        <f t="shared" si="18"/>
        <v>5.320235149131001</v>
      </c>
      <c r="V25" s="23">
        <f t="shared" si="19"/>
        <v>5.226107539260467</v>
      </c>
    </row>
    <row r="26" spans="1:22" ht="15" customHeight="1">
      <c r="A26" s="79">
        <v>2050</v>
      </c>
      <c r="B26" s="72">
        <f t="shared" si="0"/>
        <v>5.571267210819927</v>
      </c>
      <c r="C26" s="72">
        <f t="shared" si="1"/>
        <v>5.760698896722919</v>
      </c>
      <c r="D26" s="72">
        <f t="shared" si="2"/>
        <v>5.4475115335033015</v>
      </c>
      <c r="E26" s="72">
        <f t="shared" si="3"/>
        <v>3.8353967637591277</v>
      </c>
      <c r="F26" s="72">
        <f t="shared" si="4"/>
        <v>5.944760377900736</v>
      </c>
      <c r="G26" s="29"/>
      <c r="H26" s="21">
        <f t="shared" si="5"/>
        <v>5.571267210819926</v>
      </c>
      <c r="I26" s="21">
        <f t="shared" si="6"/>
        <v>6.564620009423761</v>
      </c>
      <c r="J26" s="22">
        <f t="shared" si="7"/>
        <v>4.348341681981456</v>
      </c>
      <c r="K26" s="23">
        <f t="shared" si="8"/>
        <v>4.451250803087206</v>
      </c>
      <c r="L26" s="22">
        <f t="shared" si="9"/>
        <v>5.017625873459949</v>
      </c>
      <c r="M26" s="22">
        <f t="shared" si="10"/>
        <v>6.009779495019691</v>
      </c>
      <c r="N26" s="21">
        <f t="shared" si="11"/>
        <v>4.3904554839295775</v>
      </c>
      <c r="O26" s="23">
        <f t="shared" si="12"/>
        <v>3.651401101242474</v>
      </c>
      <c r="P26" s="21">
        <f t="shared" si="13"/>
        <v>6.820280861139889</v>
      </c>
      <c r="Q26" s="22">
        <f t="shared" si="14"/>
        <v>4.399093488772492</v>
      </c>
      <c r="R26" s="22">
        <f t="shared" si="15"/>
        <v>8.06197936920807</v>
      </c>
      <c r="S26" s="22">
        <f t="shared" si="16"/>
        <v>5.355050162524241</v>
      </c>
      <c r="T26" s="22">
        <f t="shared" si="17"/>
        <v>5.402665516766236</v>
      </c>
      <c r="U26" s="22">
        <f t="shared" si="18"/>
        <v>5.957828831287394</v>
      </c>
      <c r="V26" s="23">
        <f t="shared" si="19"/>
        <v>5.8501952018674555</v>
      </c>
    </row>
    <row r="27" spans="1:22" ht="15" customHeight="1">
      <c r="A27" s="79">
        <v>2060</v>
      </c>
      <c r="B27" s="72">
        <f t="shared" si="0"/>
        <v>6.045608499893447</v>
      </c>
      <c r="C27" s="72">
        <f t="shared" si="1"/>
        <v>6.081916945241744</v>
      </c>
      <c r="D27" s="72">
        <f t="shared" si="2"/>
        <v>5.818910173570435</v>
      </c>
      <c r="E27" s="72">
        <f t="shared" si="3"/>
        <v>4.475819492845084</v>
      </c>
      <c r="F27" s="72">
        <f t="shared" si="4"/>
        <v>6.522486801188772</v>
      </c>
      <c r="G27" s="29"/>
      <c r="H27" s="21">
        <f t="shared" si="5"/>
        <v>6.045608499893448</v>
      </c>
      <c r="I27" s="21">
        <f t="shared" si="6"/>
        <v>6.719992903539807</v>
      </c>
      <c r="J27" s="22">
        <f t="shared" si="7"/>
        <v>4.922713422400971</v>
      </c>
      <c r="K27" s="23">
        <f t="shared" si="8"/>
        <v>5.006085358638402</v>
      </c>
      <c r="L27" s="22">
        <f t="shared" si="9"/>
        <v>5.132530592090899</v>
      </c>
      <c r="M27" s="22">
        <f t="shared" si="10"/>
        <v>6.686299473161128</v>
      </c>
      <c r="N27" s="21">
        <f t="shared" si="11"/>
        <v>5.338754481380615</v>
      </c>
      <c r="O27" s="23">
        <f t="shared" si="12"/>
        <v>4.229099281367975</v>
      </c>
      <c r="P27" s="21">
        <f t="shared" si="13"/>
        <v>7.61389965303874</v>
      </c>
      <c r="Q27" s="22">
        <f t="shared" si="14"/>
        <v>4.89015675225447</v>
      </c>
      <c r="R27" s="22">
        <f t="shared" si="15"/>
        <v>8.332495368175069</v>
      </c>
      <c r="S27" s="22">
        <f t="shared" si="16"/>
        <v>5.450955692632162</v>
      </c>
      <c r="T27" s="22">
        <f t="shared" si="17"/>
        <v>5.942492590752846</v>
      </c>
      <c r="U27" s="22">
        <f t="shared" si="18"/>
        <v>6.592231613348973</v>
      </c>
      <c r="V27" s="23">
        <f t="shared" si="19"/>
        <v>6.5139048010346166</v>
      </c>
    </row>
    <row r="28" spans="1:22" ht="15" customHeight="1">
      <c r="A28" s="79">
        <v>2070</v>
      </c>
      <c r="B28" s="72">
        <f t="shared" si="0"/>
        <v>6.141979648052615</v>
      </c>
      <c r="C28" s="72">
        <f t="shared" si="1"/>
        <v>6.5798846241258895</v>
      </c>
      <c r="D28" s="72">
        <f t="shared" si="2"/>
        <v>5.8835645853433505</v>
      </c>
      <c r="E28" s="72">
        <f t="shared" si="3"/>
        <v>4.59681402357766</v>
      </c>
      <c r="F28" s="72">
        <f t="shared" si="4"/>
        <v>6.595584698143904</v>
      </c>
      <c r="H28" s="21">
        <f t="shared" si="5"/>
        <v>6.141979648052615</v>
      </c>
      <c r="I28" s="21">
        <f t="shared" si="6"/>
        <v>7.073747818642242</v>
      </c>
      <c r="J28" s="22">
        <f t="shared" si="7"/>
        <v>5.64768628319018</v>
      </c>
      <c r="K28" s="23">
        <f t="shared" si="8"/>
        <v>5.712003126106618</v>
      </c>
      <c r="L28" s="22">
        <f t="shared" si="9"/>
        <v>5.372336859963228</v>
      </c>
      <c r="M28" s="22">
        <f t="shared" si="10"/>
        <v>6.507947761318234</v>
      </c>
      <c r="N28" s="21">
        <f t="shared" si="11"/>
        <v>5.3453132327650446</v>
      </c>
      <c r="O28" s="23">
        <f t="shared" si="12"/>
        <v>4.407389261138307</v>
      </c>
      <c r="P28" s="21">
        <f t="shared" si="13"/>
        <v>8.145769860349848</v>
      </c>
      <c r="Q28" s="22">
        <f t="shared" si="14"/>
        <v>4.968640862795661</v>
      </c>
      <c r="R28" s="22">
        <f t="shared" si="15"/>
        <v>8.913733347419443</v>
      </c>
      <c r="S28" s="22">
        <f t="shared" si="16"/>
        <v>5.68580623935979</v>
      </c>
      <c r="T28" s="22">
        <f t="shared" si="17"/>
        <v>5.647473718030788</v>
      </c>
      <c r="U28" s="22">
        <f t="shared" si="18"/>
        <v>6.3774996938574375</v>
      </c>
      <c r="V28" s="23">
        <f t="shared" si="19"/>
        <v>6.320727588640359</v>
      </c>
    </row>
    <row r="29" spans="1:22" ht="15" customHeight="1">
      <c r="A29" s="79">
        <v>2080</v>
      </c>
      <c r="B29" s="72">
        <f t="shared" si="0"/>
        <v>6.2667112552780715</v>
      </c>
      <c r="C29" s="72">
        <f t="shared" si="1"/>
        <v>6.699321315278375</v>
      </c>
      <c r="D29" s="72">
        <f t="shared" si="2"/>
        <v>5.970472118626889</v>
      </c>
      <c r="E29" s="72">
        <f t="shared" si="3"/>
        <v>4.864280980459094</v>
      </c>
      <c r="F29" s="72">
        <f t="shared" si="4"/>
        <v>6.747205346286433</v>
      </c>
      <c r="H29" s="21">
        <f t="shared" si="5"/>
        <v>6.266711255278071</v>
      </c>
      <c r="I29" s="21">
        <f t="shared" si="6"/>
        <v>7.077569019042439</v>
      </c>
      <c r="J29" s="22">
        <f t="shared" si="7"/>
        <v>5.992364016270557</v>
      </c>
      <c r="K29" s="23">
        <f t="shared" si="8"/>
        <v>6.002869929053689</v>
      </c>
      <c r="L29" s="22">
        <f t="shared" si="9"/>
        <v>5.4767830602138865</v>
      </c>
      <c r="M29" s="22">
        <f t="shared" si="10"/>
        <v>6.588601267526077</v>
      </c>
      <c r="N29" s="21">
        <f t="shared" si="11"/>
        <v>5.5715540826764105</v>
      </c>
      <c r="O29" s="23">
        <f t="shared" si="12"/>
        <v>4.706036120744125</v>
      </c>
      <c r="P29" s="21">
        <f t="shared" si="13"/>
        <v>8.45501594380589</v>
      </c>
      <c r="Q29" s="22">
        <f t="shared" si="14"/>
        <v>5.276023995921805</v>
      </c>
      <c r="R29" s="22">
        <f t="shared" si="15"/>
        <v>8.889035375149664</v>
      </c>
      <c r="S29" s="22">
        <f t="shared" si="16"/>
        <v>5.776155247611628</v>
      </c>
      <c r="T29" s="22">
        <f t="shared" si="17"/>
        <v>5.618079716061819</v>
      </c>
      <c r="U29" s="22">
        <f t="shared" si="18"/>
        <v>6.377883307439262</v>
      </c>
      <c r="V29" s="23">
        <f t="shared" si="19"/>
        <v>6.405469016576094</v>
      </c>
    </row>
    <row r="30" spans="1:22" ht="15" customHeight="1">
      <c r="A30" s="79">
        <v>2090</v>
      </c>
      <c r="B30" s="72">
        <f t="shared" si="0"/>
        <v>6.43159760470359</v>
      </c>
      <c r="C30" s="72">
        <f t="shared" si="1"/>
        <v>6.933734405472845</v>
      </c>
      <c r="D30" s="72">
        <f t="shared" si="2"/>
        <v>6.157122064318875</v>
      </c>
      <c r="E30" s="72">
        <f t="shared" si="3"/>
        <v>4.830487231161781</v>
      </c>
      <c r="F30" s="72">
        <f t="shared" si="4"/>
        <v>7.0137089735762945</v>
      </c>
      <c r="H30" s="21">
        <f t="shared" si="5"/>
        <v>6.43159760470359</v>
      </c>
      <c r="I30" s="21">
        <f t="shared" si="6"/>
        <v>7.21475202889236</v>
      </c>
      <c r="J30" s="22">
        <f t="shared" si="7"/>
        <v>6.426986276282482</v>
      </c>
      <c r="K30" s="23">
        <f t="shared" si="8"/>
        <v>6.382680463633598</v>
      </c>
      <c r="L30" s="22">
        <f t="shared" si="9"/>
        <v>5.668696323926256</v>
      </c>
      <c r="M30" s="22">
        <f t="shared" si="10"/>
        <v>6.7840054277437885</v>
      </c>
      <c r="N30" s="21">
        <f t="shared" si="11"/>
        <v>5.874893789974506</v>
      </c>
      <c r="O30" s="23">
        <f t="shared" si="12"/>
        <v>4.6215135486075045</v>
      </c>
      <c r="P30" s="21">
        <f t="shared" si="13"/>
        <v>8.948620833533441</v>
      </c>
      <c r="Q30" s="22">
        <f t="shared" si="14"/>
        <v>5.647883962371443</v>
      </c>
      <c r="R30" s="22">
        <f t="shared" si="15"/>
        <v>9.048042997689578</v>
      </c>
      <c r="S30" s="22">
        <f t="shared" si="16"/>
        <v>5.96176575495197</v>
      </c>
      <c r="T30" s="22">
        <f t="shared" si="17"/>
        <v>5.701622801093111</v>
      </c>
      <c r="U30" s="22">
        <f t="shared" si="18"/>
        <v>6.497254050870574</v>
      </c>
      <c r="V30" s="23">
        <f t="shared" si="19"/>
        <v>6.600108733161422</v>
      </c>
    </row>
    <row r="31" spans="1:22" ht="15" customHeight="1" thickBot="1">
      <c r="A31" s="80">
        <v>2100</v>
      </c>
      <c r="B31" s="73">
        <f t="shared" si="0"/>
        <v>6.670113112273265</v>
      </c>
      <c r="C31" s="73">
        <f t="shared" si="1"/>
        <v>7.248529411069756</v>
      </c>
      <c r="D31" s="73">
        <f t="shared" si="2"/>
        <v>6.410371804349497</v>
      </c>
      <c r="E31" s="73">
        <f t="shared" si="3"/>
        <v>4.897248270051333</v>
      </c>
      <c r="F31" s="73">
        <f t="shared" si="4"/>
        <v>7.362093652304931</v>
      </c>
      <c r="H31" s="21">
        <f t="shared" si="5"/>
        <v>6.670113112273265</v>
      </c>
      <c r="I31" s="24">
        <f t="shared" si="6"/>
        <v>7.442875065559504</v>
      </c>
      <c r="J31" s="25">
        <f t="shared" si="7"/>
        <v>6.932618811016932</v>
      </c>
      <c r="K31" s="26">
        <f t="shared" si="8"/>
        <v>6.8290460684822625</v>
      </c>
      <c r="L31" s="24">
        <f t="shared" si="9"/>
        <v>5.918152489875936</v>
      </c>
      <c r="M31" s="26">
        <f t="shared" si="10"/>
        <v>7.057941136202303</v>
      </c>
      <c r="N31" s="24">
        <f t="shared" si="11"/>
        <v>6.231274883219928</v>
      </c>
      <c r="O31" s="26">
        <f t="shared" si="12"/>
        <v>4.656303690316862</v>
      </c>
      <c r="P31" s="24">
        <f t="shared" si="13"/>
        <v>9.605169442464717</v>
      </c>
      <c r="Q31" s="25">
        <f t="shared" si="14"/>
        <v>6.065609664288784</v>
      </c>
      <c r="R31" s="25">
        <f t="shared" si="15"/>
        <v>9.340435701901692</v>
      </c>
      <c r="S31" s="25">
        <f t="shared" si="16"/>
        <v>6.210565259126135</v>
      </c>
      <c r="T31" s="25">
        <f t="shared" si="17"/>
        <v>5.859056217147968</v>
      </c>
      <c r="U31" s="25">
        <f t="shared" si="18"/>
        <v>6.69588161023445</v>
      </c>
      <c r="V31" s="26">
        <f t="shared" si="19"/>
        <v>6.869439090172256</v>
      </c>
    </row>
    <row r="32" ht="15" customHeight="1" thickBot="1" thickTop="1">
      <c r="A32" s="30"/>
    </row>
    <row r="33" spans="1:6" ht="15" customHeight="1" thickTop="1">
      <c r="A33" s="157" t="s">
        <v>137</v>
      </c>
      <c r="B33" s="158"/>
      <c r="C33" s="158"/>
      <c r="D33" s="158"/>
      <c r="E33" s="158"/>
      <c r="F33" s="159"/>
    </row>
    <row r="34" spans="1:6" ht="15" customHeight="1">
      <c r="A34" s="160"/>
      <c r="B34" s="161"/>
      <c r="C34" s="161"/>
      <c r="D34" s="161"/>
      <c r="E34" s="161"/>
      <c r="F34" s="162"/>
    </row>
    <row r="35" spans="1:6" ht="15" customHeight="1" thickBot="1">
      <c r="A35" s="163"/>
      <c r="B35" s="164"/>
      <c r="C35" s="164"/>
      <c r="D35" s="164"/>
      <c r="E35" s="164"/>
      <c r="F35" s="165"/>
    </row>
    <row r="36" ht="15" customHeight="1" thickBot="1" thickTop="1">
      <c r="A36" s="30"/>
    </row>
    <row r="37" spans="1:22" ht="49.5" customHeight="1" thickBot="1" thickTop="1">
      <c r="A37" s="89" t="s">
        <v>20</v>
      </c>
      <c r="B37" s="86" t="s">
        <v>127</v>
      </c>
      <c r="C37" s="86" t="s">
        <v>0</v>
      </c>
      <c r="D37" s="86" t="s">
        <v>1</v>
      </c>
      <c r="E37" s="86" t="s">
        <v>2</v>
      </c>
      <c r="F37" s="86" t="s">
        <v>3</v>
      </c>
      <c r="G37" s="28"/>
      <c r="H37" s="11" t="s">
        <v>19</v>
      </c>
      <c r="I37" s="11" t="s">
        <v>4</v>
      </c>
      <c r="J37" s="9" t="s">
        <v>5</v>
      </c>
      <c r="K37" s="10" t="s">
        <v>6</v>
      </c>
      <c r="L37" s="12" t="s">
        <v>7</v>
      </c>
      <c r="M37" s="10" t="s">
        <v>8</v>
      </c>
      <c r="N37" s="11" t="s">
        <v>9</v>
      </c>
      <c r="O37" s="10" t="s">
        <v>10</v>
      </c>
      <c r="P37" s="12" t="s">
        <v>11</v>
      </c>
      <c r="Q37" s="13" t="s">
        <v>12</v>
      </c>
      <c r="R37" s="13" t="s">
        <v>13</v>
      </c>
      <c r="S37" s="13" t="s">
        <v>14</v>
      </c>
      <c r="T37" s="13" t="s">
        <v>15</v>
      </c>
      <c r="U37" s="13" t="s">
        <v>16</v>
      </c>
      <c r="V37" s="10" t="s">
        <v>17</v>
      </c>
    </row>
    <row r="38" spans="1:22" ht="15" customHeight="1" thickTop="1">
      <c r="A38" s="77">
        <v>1870</v>
      </c>
      <c r="B38" s="71">
        <v>1</v>
      </c>
      <c r="C38" s="71">
        <v>0.4560384713845103</v>
      </c>
      <c r="D38" s="71">
        <v>0.11562064083996547</v>
      </c>
      <c r="E38" s="71">
        <v>0.041092206599215926</v>
      </c>
      <c r="F38" s="71">
        <v>0.3872486811763087</v>
      </c>
      <c r="G38" s="29"/>
      <c r="H38" s="83">
        <v>1</v>
      </c>
      <c r="I38" s="83">
        <v>0.34152948375046177</v>
      </c>
      <c r="J38" s="84">
        <v>0.05096096490266737</v>
      </c>
      <c r="K38" s="85">
        <v>0.06354802273138119</v>
      </c>
      <c r="L38" s="84">
        <v>0.09205493610798825</v>
      </c>
      <c r="M38" s="84">
        <v>0.023565704731977225</v>
      </c>
      <c r="N38" s="83">
        <v>0.009005684505157166</v>
      </c>
      <c r="O38" s="85">
        <v>0.03208652209405877</v>
      </c>
      <c r="P38" s="84">
        <v>0.16911715105134076</v>
      </c>
      <c r="Q38" s="84">
        <v>0.11725235947123044</v>
      </c>
      <c r="R38" s="84">
        <v>0.023437892839843735</v>
      </c>
      <c r="S38" s="84">
        <v>0.005184530604976532</v>
      </c>
      <c r="T38" s="84">
        <v>0.02392519709563898</v>
      </c>
      <c r="U38" s="84">
        <v>0.010766731634491742</v>
      </c>
      <c r="V38" s="85">
        <v>0.03756481847878644</v>
      </c>
    </row>
    <row r="39" spans="1:22" ht="15" customHeight="1">
      <c r="A39" s="78">
        <v>1880</v>
      </c>
      <c r="B39" s="72">
        <f>(B$38+B$42)/2</f>
        <v>1</v>
      </c>
      <c r="C39" s="72">
        <f aca="true" t="shared" si="20" ref="C39:V41">(C$38+C$42)/2</f>
        <v>0.46284596760308117</v>
      </c>
      <c r="D39" s="72">
        <f t="shared" si="20"/>
        <v>0.1776770051013431</v>
      </c>
      <c r="E39" s="72">
        <f t="shared" si="20"/>
        <v>0.03520393665292099</v>
      </c>
      <c r="F39" s="72">
        <f t="shared" si="20"/>
        <v>0.32427309064265486</v>
      </c>
      <c r="G39" s="29"/>
      <c r="H39" s="21">
        <f t="shared" si="20"/>
        <v>1</v>
      </c>
      <c r="I39" s="21">
        <f t="shared" si="20"/>
        <v>0.3418481624386548</v>
      </c>
      <c r="J39" s="22">
        <f t="shared" si="20"/>
        <v>0.05332726548076608</v>
      </c>
      <c r="K39" s="23">
        <f t="shared" si="20"/>
        <v>0.0676705396836603</v>
      </c>
      <c r="L39" s="22">
        <f t="shared" si="20"/>
        <v>0.14469853781801592</v>
      </c>
      <c r="M39" s="22">
        <f t="shared" si="20"/>
        <v>0.032978467283327186</v>
      </c>
      <c r="N39" s="21">
        <f t="shared" si="20"/>
        <v>0.008588002747549745</v>
      </c>
      <c r="O39" s="23">
        <f t="shared" si="20"/>
        <v>0.026615933905371255</v>
      </c>
      <c r="P39" s="22">
        <f t="shared" si="20"/>
        <v>0.12831812365385156</v>
      </c>
      <c r="Q39" s="22">
        <f t="shared" si="20"/>
        <v>0.09473087520700402</v>
      </c>
      <c r="R39" s="22">
        <f t="shared" si="20"/>
        <v>0.0251679456220053</v>
      </c>
      <c r="S39" s="22">
        <f t="shared" si="20"/>
        <v>0.007405373679096004</v>
      </c>
      <c r="T39" s="22">
        <f t="shared" si="20"/>
        <v>0.020751605308129428</v>
      </c>
      <c r="U39" s="22">
        <f t="shared" si="20"/>
        <v>0.011465196067782651</v>
      </c>
      <c r="V39" s="23">
        <f t="shared" si="20"/>
        <v>0.03643397110478587</v>
      </c>
    </row>
    <row r="40" spans="1:22" ht="15" customHeight="1">
      <c r="A40" s="78">
        <v>1890</v>
      </c>
      <c r="B40" s="72">
        <f>(B$38+B$42)/2</f>
        <v>1</v>
      </c>
      <c r="C40" s="72">
        <f t="shared" si="20"/>
        <v>0.46284596760308117</v>
      </c>
      <c r="D40" s="72">
        <f t="shared" si="20"/>
        <v>0.1776770051013431</v>
      </c>
      <c r="E40" s="72">
        <f t="shared" si="20"/>
        <v>0.03520393665292099</v>
      </c>
      <c r="F40" s="72">
        <f t="shared" si="20"/>
        <v>0.32427309064265486</v>
      </c>
      <c r="G40" s="29"/>
      <c r="H40" s="21">
        <f t="shared" si="20"/>
        <v>1</v>
      </c>
      <c r="I40" s="21">
        <f t="shared" si="20"/>
        <v>0.3418481624386548</v>
      </c>
      <c r="J40" s="22">
        <f t="shared" si="20"/>
        <v>0.05332726548076608</v>
      </c>
      <c r="K40" s="23">
        <f t="shared" si="20"/>
        <v>0.0676705396836603</v>
      </c>
      <c r="L40" s="22">
        <f t="shared" si="20"/>
        <v>0.14469853781801592</v>
      </c>
      <c r="M40" s="22">
        <f t="shared" si="20"/>
        <v>0.032978467283327186</v>
      </c>
      <c r="N40" s="21">
        <f t="shared" si="20"/>
        <v>0.008588002747549745</v>
      </c>
      <c r="O40" s="23">
        <f t="shared" si="20"/>
        <v>0.026615933905371255</v>
      </c>
      <c r="P40" s="22">
        <f t="shared" si="20"/>
        <v>0.12831812365385156</v>
      </c>
      <c r="Q40" s="22">
        <f t="shared" si="20"/>
        <v>0.09473087520700402</v>
      </c>
      <c r="R40" s="22">
        <f t="shared" si="20"/>
        <v>0.0251679456220053</v>
      </c>
      <c r="S40" s="22">
        <f t="shared" si="20"/>
        <v>0.007405373679096004</v>
      </c>
      <c r="T40" s="22">
        <f t="shared" si="20"/>
        <v>0.020751605308129428</v>
      </c>
      <c r="U40" s="22">
        <f t="shared" si="20"/>
        <v>0.011465196067782651</v>
      </c>
      <c r="V40" s="23">
        <f t="shared" si="20"/>
        <v>0.03643397110478587</v>
      </c>
    </row>
    <row r="41" spans="1:22" ht="15" customHeight="1">
      <c r="A41" s="78">
        <v>1900</v>
      </c>
      <c r="B41" s="72">
        <f>(B$38+B$42)/2</f>
        <v>1</v>
      </c>
      <c r="C41" s="72">
        <f t="shared" si="20"/>
        <v>0.46284596760308117</v>
      </c>
      <c r="D41" s="72">
        <f t="shared" si="20"/>
        <v>0.1776770051013431</v>
      </c>
      <c r="E41" s="72">
        <f t="shared" si="20"/>
        <v>0.03520393665292099</v>
      </c>
      <c r="F41" s="72">
        <f t="shared" si="20"/>
        <v>0.32427309064265486</v>
      </c>
      <c r="G41" s="29"/>
      <c r="H41" s="21">
        <f t="shared" si="20"/>
        <v>1</v>
      </c>
      <c r="I41" s="21">
        <f t="shared" si="20"/>
        <v>0.3418481624386548</v>
      </c>
      <c r="J41" s="22">
        <f t="shared" si="20"/>
        <v>0.05332726548076608</v>
      </c>
      <c r="K41" s="23">
        <f t="shared" si="20"/>
        <v>0.0676705396836603</v>
      </c>
      <c r="L41" s="22">
        <f t="shared" si="20"/>
        <v>0.14469853781801592</v>
      </c>
      <c r="M41" s="22">
        <f t="shared" si="20"/>
        <v>0.032978467283327186</v>
      </c>
      <c r="N41" s="21">
        <f t="shared" si="20"/>
        <v>0.008588002747549745</v>
      </c>
      <c r="O41" s="23">
        <f t="shared" si="20"/>
        <v>0.026615933905371255</v>
      </c>
      <c r="P41" s="22">
        <f t="shared" si="20"/>
        <v>0.12831812365385156</v>
      </c>
      <c r="Q41" s="22">
        <f t="shared" si="20"/>
        <v>0.09473087520700402</v>
      </c>
      <c r="R41" s="22">
        <f t="shared" si="20"/>
        <v>0.0251679456220053</v>
      </c>
      <c r="S41" s="22">
        <f t="shared" si="20"/>
        <v>0.007405373679096004</v>
      </c>
      <c r="T41" s="22">
        <f t="shared" si="20"/>
        <v>0.020751605308129428</v>
      </c>
      <c r="U41" s="22">
        <f t="shared" si="20"/>
        <v>0.011465196067782651</v>
      </c>
      <c r="V41" s="23">
        <f t="shared" si="20"/>
        <v>0.03643397110478587</v>
      </c>
    </row>
    <row r="42" spans="1:22" ht="15" customHeight="1">
      <c r="A42" s="79">
        <v>1910</v>
      </c>
      <c r="B42" s="72">
        <v>1</v>
      </c>
      <c r="C42" s="72">
        <v>0.4696534638216521</v>
      </c>
      <c r="D42" s="72">
        <v>0.23973336936272074</v>
      </c>
      <c r="E42" s="72">
        <v>0.029315666706626064</v>
      </c>
      <c r="F42" s="72">
        <v>0.261297500109001</v>
      </c>
      <c r="G42" s="29"/>
      <c r="H42" s="21">
        <v>1</v>
      </c>
      <c r="I42" s="21">
        <v>0.34216684112684786</v>
      </c>
      <c r="J42" s="22">
        <v>0.055693566058864795</v>
      </c>
      <c r="K42" s="23">
        <v>0.07179305663593942</v>
      </c>
      <c r="L42" s="22">
        <v>0.19734213952804358</v>
      </c>
      <c r="M42" s="22">
        <v>0.04239122983467715</v>
      </c>
      <c r="N42" s="21">
        <v>0.008170320989942324</v>
      </c>
      <c r="O42" s="23">
        <v>0.021145345716683743</v>
      </c>
      <c r="P42" s="22">
        <v>0.08751909625636237</v>
      </c>
      <c r="Q42" s="22">
        <v>0.07220939094277758</v>
      </c>
      <c r="R42" s="22">
        <v>0.026897998404166863</v>
      </c>
      <c r="S42" s="22">
        <v>0.009626216753215476</v>
      </c>
      <c r="T42" s="22">
        <v>0.017578013520619874</v>
      </c>
      <c r="U42" s="22">
        <v>0.012163660501073559</v>
      </c>
      <c r="V42" s="23">
        <v>0.03530312373078529</v>
      </c>
    </row>
    <row r="43" spans="1:22" ht="15" customHeight="1">
      <c r="A43" s="79">
        <v>1920</v>
      </c>
      <c r="B43" s="72">
        <f>(B$42+B$46)/2</f>
        <v>1</v>
      </c>
      <c r="C43" s="72">
        <f aca="true" t="shared" si="21" ref="C43:V45">(C$42+C$46)/2</f>
        <v>0.4317074334532876</v>
      </c>
      <c r="D43" s="72">
        <f t="shared" si="21"/>
        <v>0.3009556511529467</v>
      </c>
      <c r="E43" s="72">
        <f t="shared" si="21"/>
        <v>0.03394668674958298</v>
      </c>
      <c r="F43" s="72">
        <f t="shared" si="21"/>
        <v>0.23339022864418257</v>
      </c>
      <c r="G43" s="29"/>
      <c r="H43" s="21">
        <f t="shared" si="21"/>
        <v>1</v>
      </c>
      <c r="I43" s="21">
        <f t="shared" si="21"/>
        <v>0.30761454785415343</v>
      </c>
      <c r="J43" s="22">
        <f t="shared" si="21"/>
        <v>0.04755398565241245</v>
      </c>
      <c r="K43" s="23">
        <f t="shared" si="21"/>
        <v>0.07653889994672172</v>
      </c>
      <c r="L43" s="22">
        <f t="shared" si="21"/>
        <v>0.24218677105558525</v>
      </c>
      <c r="M43" s="22">
        <f t="shared" si="21"/>
        <v>0.05876888009736143</v>
      </c>
      <c r="N43" s="21">
        <f t="shared" si="21"/>
        <v>0.008717828633030084</v>
      </c>
      <c r="O43" s="23">
        <f t="shared" si="21"/>
        <v>0.025228858116552906</v>
      </c>
      <c r="P43" s="22">
        <f t="shared" si="21"/>
        <v>0.06665311037980023</v>
      </c>
      <c r="Q43" s="22">
        <f t="shared" si="21"/>
        <v>0.05635818074040743</v>
      </c>
      <c r="R43" s="22">
        <f t="shared" si="21"/>
        <v>0.029025999430450568</v>
      </c>
      <c r="S43" s="22">
        <f t="shared" si="21"/>
        <v>0.011082128801719451</v>
      </c>
      <c r="T43" s="22">
        <f t="shared" si="21"/>
        <v>0.020654875823408712</v>
      </c>
      <c r="U43" s="22">
        <f t="shared" si="21"/>
        <v>0.012967733060852953</v>
      </c>
      <c r="V43" s="23">
        <f t="shared" si="21"/>
        <v>0.03664820040754324</v>
      </c>
    </row>
    <row r="44" spans="1:22" ht="15" customHeight="1">
      <c r="A44" s="79">
        <v>1930</v>
      </c>
      <c r="B44" s="72">
        <f>(B$42+B$46)/2</f>
        <v>1</v>
      </c>
      <c r="C44" s="72">
        <f t="shared" si="21"/>
        <v>0.4317074334532876</v>
      </c>
      <c r="D44" s="72">
        <f t="shared" si="21"/>
        <v>0.3009556511529467</v>
      </c>
      <c r="E44" s="72">
        <f t="shared" si="21"/>
        <v>0.03394668674958298</v>
      </c>
      <c r="F44" s="72">
        <f t="shared" si="21"/>
        <v>0.23339022864418257</v>
      </c>
      <c r="G44" s="29"/>
      <c r="H44" s="21">
        <f t="shared" si="21"/>
        <v>1</v>
      </c>
      <c r="I44" s="21">
        <f t="shared" si="21"/>
        <v>0.30761454785415343</v>
      </c>
      <c r="J44" s="22">
        <f t="shared" si="21"/>
        <v>0.04755398565241245</v>
      </c>
      <c r="K44" s="23">
        <f t="shared" si="21"/>
        <v>0.07653889994672172</v>
      </c>
      <c r="L44" s="22">
        <f t="shared" si="21"/>
        <v>0.24218677105558525</v>
      </c>
      <c r="M44" s="22">
        <f t="shared" si="21"/>
        <v>0.05876888009736143</v>
      </c>
      <c r="N44" s="21">
        <f t="shared" si="21"/>
        <v>0.008717828633030084</v>
      </c>
      <c r="O44" s="23">
        <f t="shared" si="21"/>
        <v>0.025228858116552906</v>
      </c>
      <c r="P44" s="22">
        <f t="shared" si="21"/>
        <v>0.06665311037980023</v>
      </c>
      <c r="Q44" s="22">
        <f t="shared" si="21"/>
        <v>0.05635818074040743</v>
      </c>
      <c r="R44" s="22">
        <f t="shared" si="21"/>
        <v>0.029025999430450568</v>
      </c>
      <c r="S44" s="22">
        <f t="shared" si="21"/>
        <v>0.011082128801719451</v>
      </c>
      <c r="T44" s="22">
        <f t="shared" si="21"/>
        <v>0.020654875823408712</v>
      </c>
      <c r="U44" s="22">
        <f t="shared" si="21"/>
        <v>0.012967733060852953</v>
      </c>
      <c r="V44" s="23">
        <f t="shared" si="21"/>
        <v>0.03664820040754324</v>
      </c>
    </row>
    <row r="45" spans="1:22" ht="15" customHeight="1">
      <c r="A45" s="79">
        <v>1940</v>
      </c>
      <c r="B45" s="72">
        <f>(B$42+B$46)/2</f>
        <v>1</v>
      </c>
      <c r="C45" s="72">
        <f t="shared" si="21"/>
        <v>0.4317074334532876</v>
      </c>
      <c r="D45" s="72">
        <f t="shared" si="21"/>
        <v>0.3009556511529467</v>
      </c>
      <c r="E45" s="72">
        <f t="shared" si="21"/>
        <v>0.03394668674958298</v>
      </c>
      <c r="F45" s="72">
        <f t="shared" si="21"/>
        <v>0.23339022864418257</v>
      </c>
      <c r="G45" s="29"/>
      <c r="H45" s="21">
        <f t="shared" si="21"/>
        <v>1</v>
      </c>
      <c r="I45" s="21">
        <f t="shared" si="21"/>
        <v>0.30761454785415343</v>
      </c>
      <c r="J45" s="22">
        <f t="shared" si="21"/>
        <v>0.04755398565241245</v>
      </c>
      <c r="K45" s="23">
        <f t="shared" si="21"/>
        <v>0.07653889994672172</v>
      </c>
      <c r="L45" s="22">
        <f t="shared" si="21"/>
        <v>0.24218677105558525</v>
      </c>
      <c r="M45" s="22">
        <f t="shared" si="21"/>
        <v>0.05876888009736143</v>
      </c>
      <c r="N45" s="21">
        <f t="shared" si="21"/>
        <v>0.008717828633030084</v>
      </c>
      <c r="O45" s="23">
        <f t="shared" si="21"/>
        <v>0.025228858116552906</v>
      </c>
      <c r="P45" s="22">
        <f t="shared" si="21"/>
        <v>0.06665311037980023</v>
      </c>
      <c r="Q45" s="22">
        <f t="shared" si="21"/>
        <v>0.05635818074040743</v>
      </c>
      <c r="R45" s="22">
        <f t="shared" si="21"/>
        <v>0.029025999430450568</v>
      </c>
      <c r="S45" s="22">
        <f t="shared" si="21"/>
        <v>0.011082128801719451</v>
      </c>
      <c r="T45" s="22">
        <f t="shared" si="21"/>
        <v>0.020654875823408712</v>
      </c>
      <c r="U45" s="22">
        <f t="shared" si="21"/>
        <v>0.012967733060852953</v>
      </c>
      <c r="V45" s="23">
        <f t="shared" si="21"/>
        <v>0.03664820040754324</v>
      </c>
    </row>
    <row r="46" spans="1:22" ht="15" customHeight="1">
      <c r="A46" s="79">
        <v>1950</v>
      </c>
      <c r="B46" s="72">
        <v>1</v>
      </c>
      <c r="C46" s="72">
        <v>0.39376140308492313</v>
      </c>
      <c r="D46" s="72">
        <v>0.36217793294317263</v>
      </c>
      <c r="E46" s="72">
        <v>0.038577706792539905</v>
      </c>
      <c r="F46" s="72">
        <v>0.20548295717936416</v>
      </c>
      <c r="G46" s="22"/>
      <c r="H46" s="21">
        <v>1</v>
      </c>
      <c r="I46" s="21">
        <v>0.273062254581459</v>
      </c>
      <c r="J46" s="22">
        <v>0.039414405245960106</v>
      </c>
      <c r="K46" s="23">
        <v>0.08128474325750402</v>
      </c>
      <c r="L46" s="22">
        <v>0.2870314025831269</v>
      </c>
      <c r="M46" s="22">
        <v>0.0751465303600457</v>
      </c>
      <c r="N46" s="21">
        <v>0.009265336276117841</v>
      </c>
      <c r="O46" s="23">
        <v>0.02931237051642207</v>
      </c>
      <c r="P46" s="22">
        <v>0.045787124503238096</v>
      </c>
      <c r="Q46" s="22">
        <v>0.040506970538037285</v>
      </c>
      <c r="R46" s="22">
        <v>0.031154000456734273</v>
      </c>
      <c r="S46" s="22">
        <v>0.012538040850223427</v>
      </c>
      <c r="T46" s="22">
        <v>0.02373173812619755</v>
      </c>
      <c r="U46" s="22">
        <v>0.01377180562063235</v>
      </c>
      <c r="V46" s="23">
        <v>0.03799327708430118</v>
      </c>
    </row>
    <row r="47" spans="1:22" ht="15" customHeight="1">
      <c r="A47" s="79">
        <v>1960</v>
      </c>
      <c r="B47" s="72">
        <f>(B46+B48)/2</f>
        <v>1</v>
      </c>
      <c r="C47" s="72">
        <f>(C46+C48)/2</f>
        <v>0.39469037371956694</v>
      </c>
      <c r="D47" s="72">
        <f>(D46+D48)/2</f>
        <v>0.3427423590636749</v>
      </c>
      <c r="E47" s="72">
        <f>(E46+E48)/2</f>
        <v>0.03756562220127275</v>
      </c>
      <c r="F47" s="72">
        <f>(F46+F48)/2</f>
        <v>0.2250016450154853</v>
      </c>
      <c r="G47" s="29"/>
      <c r="H47" s="21">
        <f aca="true" t="shared" si="22" ref="H47:V47">(H46+H48)/2</f>
        <v>1</v>
      </c>
      <c r="I47" s="21">
        <f t="shared" si="22"/>
        <v>0.27467618133241156</v>
      </c>
      <c r="J47" s="22">
        <f t="shared" si="22"/>
        <v>0.03920951192025651</v>
      </c>
      <c r="K47" s="23">
        <f t="shared" si="22"/>
        <v>0.08080468046689886</v>
      </c>
      <c r="L47" s="22">
        <f t="shared" si="22"/>
        <v>0.2646203669371535</v>
      </c>
      <c r="M47" s="22">
        <f t="shared" si="22"/>
        <v>0.07812199212652143</v>
      </c>
      <c r="N47" s="21">
        <f t="shared" si="22"/>
        <v>0.009269542251026157</v>
      </c>
      <c r="O47" s="23">
        <f t="shared" si="22"/>
        <v>0.02829607995024659</v>
      </c>
      <c r="P47" s="22">
        <f t="shared" si="22"/>
        <v>0.03944276239192708</v>
      </c>
      <c r="Q47" s="22">
        <f t="shared" si="22"/>
        <v>0.034425813365589863</v>
      </c>
      <c r="R47" s="22">
        <f t="shared" si="22"/>
        <v>0.05414279931335987</v>
      </c>
      <c r="S47" s="22">
        <f t="shared" si="22"/>
        <v>0.012123449145753942</v>
      </c>
      <c r="T47" s="22">
        <f t="shared" si="22"/>
        <v>0.03003041391669923</v>
      </c>
      <c r="U47" s="22">
        <f t="shared" si="22"/>
        <v>0.016473829075849454</v>
      </c>
      <c r="V47" s="23">
        <f t="shared" si="22"/>
        <v>0.03836257780630587</v>
      </c>
    </row>
    <row r="48" spans="1:22" ht="15" customHeight="1">
      <c r="A48" s="79">
        <v>1970</v>
      </c>
      <c r="B48" s="72">
        <v>1</v>
      </c>
      <c r="C48" s="72">
        <v>0.39561934435421076</v>
      </c>
      <c r="D48" s="72">
        <v>0.3233067851841772</v>
      </c>
      <c r="E48" s="72">
        <v>0.03655353761000559</v>
      </c>
      <c r="F48" s="72">
        <v>0.24452033285160646</v>
      </c>
      <c r="G48" s="22"/>
      <c r="H48" s="21">
        <v>1</v>
      </c>
      <c r="I48" s="21">
        <v>0.2762901080833642</v>
      </c>
      <c r="J48" s="22">
        <v>0.03900461859455292</v>
      </c>
      <c r="K48" s="23">
        <v>0.08032461767629369</v>
      </c>
      <c r="L48" s="22">
        <v>0.24220933129118008</v>
      </c>
      <c r="M48" s="22">
        <v>0.08109745389299718</v>
      </c>
      <c r="N48" s="21">
        <v>0.009273748225934474</v>
      </c>
      <c r="O48" s="23">
        <v>0.027279789384071117</v>
      </c>
      <c r="P48" s="22">
        <v>0.03309840028061606</v>
      </c>
      <c r="Q48" s="22">
        <v>0.02834465619314245</v>
      </c>
      <c r="R48" s="22">
        <v>0.07713159816998547</v>
      </c>
      <c r="S48" s="22">
        <v>0.011708857441284456</v>
      </c>
      <c r="T48" s="22">
        <v>0.036329089707200904</v>
      </c>
      <c r="U48" s="22">
        <v>0.01917585253106656</v>
      </c>
      <c r="V48" s="23">
        <v>0.03873187852831056</v>
      </c>
    </row>
    <row r="49" spans="1:22" ht="15" customHeight="1">
      <c r="A49" s="79">
        <v>1980</v>
      </c>
      <c r="B49" s="72">
        <f>(B48+B50)/2</f>
        <v>1</v>
      </c>
      <c r="C49" s="72">
        <f>(C48+C50)/2</f>
        <v>0.36648972351967674</v>
      </c>
      <c r="D49" s="72">
        <f>(D48+D50)/2</f>
        <v>0.327712703984675</v>
      </c>
      <c r="E49" s="72">
        <f>(E48+E50)/2</f>
        <v>0.03628217406330114</v>
      </c>
      <c r="F49" s="72">
        <f>(F48+F50)/2</f>
        <v>0.269515398432347</v>
      </c>
      <c r="G49" s="29"/>
      <c r="H49" s="21">
        <f aca="true" t="shared" si="23" ref="H49:V49">(H48+H50)/2</f>
        <v>1</v>
      </c>
      <c r="I49" s="21">
        <f t="shared" si="23"/>
        <v>0.2606471568511217</v>
      </c>
      <c r="J49" s="22">
        <f t="shared" si="23"/>
        <v>0.03525647750998072</v>
      </c>
      <c r="K49" s="23">
        <f t="shared" si="23"/>
        <v>0.07058608915857431</v>
      </c>
      <c r="L49" s="22">
        <f t="shared" si="23"/>
        <v>0.24463556225494834</v>
      </c>
      <c r="M49" s="22">
        <f t="shared" si="23"/>
        <v>0.08307714172972669</v>
      </c>
      <c r="N49" s="21">
        <f t="shared" si="23"/>
        <v>0.010944727055286652</v>
      </c>
      <c r="O49" s="23">
        <f t="shared" si="23"/>
        <v>0.02533744700801449</v>
      </c>
      <c r="P49" s="22">
        <f t="shared" si="23"/>
        <v>0.03425996915130426</v>
      </c>
      <c r="Q49" s="22">
        <f t="shared" si="23"/>
        <v>0.02915684911710088</v>
      </c>
      <c r="R49" s="22">
        <f t="shared" si="23"/>
        <v>0.08513486799692419</v>
      </c>
      <c r="S49" s="22">
        <f t="shared" si="23"/>
        <v>0.011622497802716347</v>
      </c>
      <c r="T49" s="22">
        <f t="shared" si="23"/>
        <v>0.03944325782665185</v>
      </c>
      <c r="U49" s="22">
        <f t="shared" si="23"/>
        <v>0.01711022025779557</v>
      </c>
      <c r="V49" s="23">
        <f t="shared" si="23"/>
        <v>0.052787736279853927</v>
      </c>
    </row>
    <row r="50" spans="1:22" ht="15" customHeight="1">
      <c r="A50" s="79">
        <v>1990</v>
      </c>
      <c r="B50" s="72">
        <v>1</v>
      </c>
      <c r="C50" s="72">
        <v>0.3373601026851427</v>
      </c>
      <c r="D50" s="72">
        <v>0.3321186227851728</v>
      </c>
      <c r="E50" s="72">
        <v>0.03601081051659669</v>
      </c>
      <c r="F50" s="72">
        <v>0.29451046401308756</v>
      </c>
      <c r="G50" s="166" t="s">
        <v>105</v>
      </c>
      <c r="H50" s="21">
        <v>1</v>
      </c>
      <c r="I50" s="21">
        <v>0.2450042056188793</v>
      </c>
      <c r="J50" s="22">
        <v>0.031508336425408526</v>
      </c>
      <c r="K50" s="23">
        <v>0.06084756064085492</v>
      </c>
      <c r="L50" s="22">
        <v>0.2470617932187166</v>
      </c>
      <c r="M50" s="22">
        <v>0.08505682956645622</v>
      </c>
      <c r="N50" s="21">
        <v>0.012615705884638829</v>
      </c>
      <c r="O50" s="23">
        <v>0.023395104631957868</v>
      </c>
      <c r="P50" s="22">
        <v>0.03542153802199246</v>
      </c>
      <c r="Q50" s="22">
        <v>0.02996904204105931</v>
      </c>
      <c r="R50" s="22">
        <v>0.09313813782386289</v>
      </c>
      <c r="S50" s="22">
        <v>0.01153613816414824</v>
      </c>
      <c r="T50" s="22">
        <v>0.04255742594610279</v>
      </c>
      <c r="U50" s="22">
        <v>0.015044587984524576</v>
      </c>
      <c r="V50" s="23">
        <v>0.0668435940313973</v>
      </c>
    </row>
    <row r="51" spans="1:22" ht="15" customHeight="1">
      <c r="A51" s="79">
        <v>2000</v>
      </c>
      <c r="B51" s="72">
        <f>(B50+B52)/2</f>
        <v>1</v>
      </c>
      <c r="C51" s="72">
        <f>(C50+C52)/2</f>
        <v>0.29364285732582246</v>
      </c>
      <c r="D51" s="72">
        <f>(D50+D52)/2</f>
        <v>0.31043566593628436</v>
      </c>
      <c r="E51" s="72">
        <f>(E50+E52)/2</f>
        <v>0.03781536505151737</v>
      </c>
      <c r="F51" s="72">
        <f>(F50+F52)/2</f>
        <v>0.35810611168637574</v>
      </c>
      <c r="G51" s="167"/>
      <c r="H51" s="21">
        <f aca="true" t="shared" si="24" ref="H51:V51">(H50+H52)/2</f>
        <v>1</v>
      </c>
      <c r="I51" s="21">
        <f t="shared" si="24"/>
        <v>0.21167135704727236</v>
      </c>
      <c r="J51" s="22">
        <f t="shared" si="24"/>
        <v>0.02988636445188711</v>
      </c>
      <c r="K51" s="23">
        <f t="shared" si="24"/>
        <v>0.05208513582666299</v>
      </c>
      <c r="L51" s="22">
        <f t="shared" si="24"/>
        <v>0.22368876377026026</v>
      </c>
      <c r="M51" s="22">
        <f t="shared" si="24"/>
        <v>0.08674690216602413</v>
      </c>
      <c r="N51" s="21">
        <f t="shared" si="24"/>
        <v>0.013195580681761201</v>
      </c>
      <c r="O51" s="23">
        <f t="shared" si="24"/>
        <v>0.02461978436975617</v>
      </c>
      <c r="P51" s="22">
        <f t="shared" si="24"/>
        <v>0.0906757008095096</v>
      </c>
      <c r="Q51" s="22">
        <f t="shared" si="24"/>
        <v>0.043274563132140294</v>
      </c>
      <c r="R51" s="22">
        <f t="shared" si="24"/>
        <v>0.07321549622521409</v>
      </c>
      <c r="S51" s="22">
        <f t="shared" si="24"/>
        <v>0.011439945704731915</v>
      </c>
      <c r="T51" s="22">
        <f t="shared" si="24"/>
        <v>0.049525113669234455</v>
      </c>
      <c r="U51" s="22">
        <f t="shared" si="24"/>
        <v>0.011060247817879862</v>
      </c>
      <c r="V51" s="23">
        <f t="shared" si="24"/>
        <v>0.07891504432766551</v>
      </c>
    </row>
    <row r="52" spans="1:22" ht="15" customHeight="1">
      <c r="A52" s="79">
        <v>2010</v>
      </c>
      <c r="B52" s="72">
        <v>1</v>
      </c>
      <c r="C52" s="72">
        <v>0.2499256119665022</v>
      </c>
      <c r="D52" s="72">
        <v>0.288752709087396</v>
      </c>
      <c r="E52" s="72">
        <v>0.03961991958643805</v>
      </c>
      <c r="F52" s="72">
        <v>0.42170175935966386</v>
      </c>
      <c r="G52" s="90">
        <v>71170.18235538852</v>
      </c>
      <c r="H52" s="21">
        <v>1</v>
      </c>
      <c r="I52" s="21">
        <v>0.17833850847566543</v>
      </c>
      <c r="J52" s="22">
        <v>0.02826439247836569</v>
      </c>
      <c r="K52" s="23">
        <v>0.043322711012471066</v>
      </c>
      <c r="L52" s="22">
        <v>0.20031573432180394</v>
      </c>
      <c r="M52" s="22">
        <v>0.08843697476559202</v>
      </c>
      <c r="N52" s="21">
        <v>0.013775455478883574</v>
      </c>
      <c r="O52" s="23">
        <v>0.025844464107554473</v>
      </c>
      <c r="P52" s="22">
        <v>0.14592986359702673</v>
      </c>
      <c r="Q52" s="22">
        <v>0.05658008422322128</v>
      </c>
      <c r="R52" s="22">
        <v>0.053292854626565286</v>
      </c>
      <c r="S52" s="22">
        <v>0.011343753245315592</v>
      </c>
      <c r="T52" s="22">
        <v>0.05649280139236613</v>
      </c>
      <c r="U52" s="22">
        <v>0.007075907651235146</v>
      </c>
      <c r="V52" s="23">
        <v>0.09098649462393373</v>
      </c>
    </row>
    <row r="53" spans="1:22" ht="15" customHeight="1">
      <c r="A53" s="79">
        <v>2020</v>
      </c>
      <c r="B53" s="72">
        <f>(B52+B54)/2</f>
        <v>1</v>
      </c>
      <c r="C53" s="72">
        <f aca="true" t="shared" si="25" ref="C53:V53">(C52+C54)/2</f>
        <v>0.21753816392134123</v>
      </c>
      <c r="D53" s="72">
        <f t="shared" si="25"/>
        <v>0.2673362787989282</v>
      </c>
      <c r="E53" s="72">
        <f t="shared" si="25"/>
        <v>0.05567696972402787</v>
      </c>
      <c r="F53" s="72">
        <f t="shared" si="25"/>
        <v>0.45944858755570284</v>
      </c>
      <c r="G53" s="90">
        <f>(G52+G54)/2</f>
        <v>102087.66015472892</v>
      </c>
      <c r="H53" s="21">
        <f t="shared" si="25"/>
        <v>1</v>
      </c>
      <c r="I53" s="21">
        <f t="shared" si="25"/>
        <v>0.15067253489749635</v>
      </c>
      <c r="J53" s="22">
        <f t="shared" si="25"/>
        <v>0.02662358849394948</v>
      </c>
      <c r="K53" s="23">
        <f t="shared" si="25"/>
        <v>0.040242040529895384</v>
      </c>
      <c r="L53" s="22">
        <f t="shared" si="25"/>
        <v>0.17626297429047183</v>
      </c>
      <c r="M53" s="22">
        <f t="shared" si="25"/>
        <v>0.09107330450845635</v>
      </c>
      <c r="N53" s="21">
        <f t="shared" si="25"/>
        <v>0.017704627325909154</v>
      </c>
      <c r="O53" s="23">
        <f t="shared" si="25"/>
        <v>0.03797234239811872</v>
      </c>
      <c r="P53" s="22">
        <f t="shared" si="25"/>
        <v>0.1696669393179384</v>
      </c>
      <c r="Q53" s="22">
        <f t="shared" si="25"/>
        <v>0.07239691541473112</v>
      </c>
      <c r="R53" s="22">
        <f t="shared" si="25"/>
        <v>0.043450696202340586</v>
      </c>
      <c r="S53" s="22">
        <f t="shared" si="25"/>
        <v>0.010203486618646108</v>
      </c>
      <c r="T53" s="22">
        <f t="shared" si="25"/>
        <v>0.06142505264578575</v>
      </c>
      <c r="U53" s="22">
        <f t="shared" si="25"/>
        <v>0.007282185139220033</v>
      </c>
      <c r="V53" s="23">
        <f t="shared" si="25"/>
        <v>0.09502331221704091</v>
      </c>
    </row>
    <row r="54" spans="1:22" ht="15" customHeight="1">
      <c r="A54" s="87">
        <v>2030</v>
      </c>
      <c r="B54" s="72">
        <v>1</v>
      </c>
      <c r="C54" s="72">
        <v>0.18515071587618023</v>
      </c>
      <c r="D54" s="72">
        <v>0.24591984851046034</v>
      </c>
      <c r="E54" s="72">
        <v>0.07173401986161769</v>
      </c>
      <c r="F54" s="72">
        <v>0.49719541575174186</v>
      </c>
      <c r="G54" s="56">
        <v>133005.1379540693</v>
      </c>
      <c r="H54" s="21">
        <v>1</v>
      </c>
      <c r="I54" s="21">
        <v>0.12300656131932726</v>
      </c>
      <c r="J54" s="22">
        <v>0.024982784509533267</v>
      </c>
      <c r="K54" s="23">
        <v>0.0371613700473197</v>
      </c>
      <c r="L54" s="22">
        <v>0.1522102142591397</v>
      </c>
      <c r="M54" s="22">
        <v>0.09370963425132067</v>
      </c>
      <c r="N54" s="21">
        <v>0.021633799172934735</v>
      </c>
      <c r="O54" s="23">
        <v>0.05010022068868296</v>
      </c>
      <c r="P54" s="22">
        <v>0.19340401503885005</v>
      </c>
      <c r="Q54" s="22">
        <v>0.08821374660624096</v>
      </c>
      <c r="R54" s="22">
        <v>0.03360853777811588</v>
      </c>
      <c r="S54" s="22">
        <v>0.009063219991976623</v>
      </c>
      <c r="T54" s="22">
        <v>0.06635730389920538</v>
      </c>
      <c r="U54" s="22">
        <v>0.0074884626272049195</v>
      </c>
      <c r="V54" s="23">
        <v>0.09906012981014811</v>
      </c>
    </row>
    <row r="55" spans="1:22" ht="15" customHeight="1">
      <c r="A55" s="87">
        <v>2040</v>
      </c>
      <c r="B55" s="72">
        <f>(B54+B56)/2</f>
        <v>1</v>
      </c>
      <c r="C55" s="72">
        <f>(C54+C56)/2</f>
        <v>0.16136053691755087</v>
      </c>
      <c r="D55" s="72">
        <f>(D54+D56)/2</f>
        <v>0.2269479489976364</v>
      </c>
      <c r="E55" s="72">
        <f>(E54+E56)/2</f>
        <v>0.09388353949431497</v>
      </c>
      <c r="F55" s="72">
        <f aca="true" t="shared" si="26" ref="F55:G57">(F54+F56)/2</f>
        <v>0.5178079745904978</v>
      </c>
      <c r="G55" s="90">
        <f t="shared" si="26"/>
        <v>187794.98123480193</v>
      </c>
      <c r="H55" s="21">
        <f aca="true" t="shared" si="27" ref="H55:V55">(H54+H56)/2</f>
        <v>1</v>
      </c>
      <c r="I55" s="21">
        <f t="shared" si="27"/>
        <v>0.10462839119997258</v>
      </c>
      <c r="J55" s="22">
        <f t="shared" si="27"/>
        <v>0.022875886255105563</v>
      </c>
      <c r="K55" s="23">
        <f t="shared" si="27"/>
        <v>0.033856259462472726</v>
      </c>
      <c r="L55" s="22">
        <f t="shared" si="27"/>
        <v>0.1350366409399395</v>
      </c>
      <c r="M55" s="22">
        <f t="shared" si="27"/>
        <v>0.09191130805769693</v>
      </c>
      <c r="N55" s="21">
        <f t="shared" si="27"/>
        <v>0.025260748434426616</v>
      </c>
      <c r="O55" s="23">
        <f t="shared" si="27"/>
        <v>0.06862279105988836</v>
      </c>
      <c r="P55" s="22">
        <f t="shared" si="27"/>
        <v>0.2047469479206347</v>
      </c>
      <c r="Q55" s="22">
        <f t="shared" si="27"/>
        <v>0.10295636845558337</v>
      </c>
      <c r="R55" s="22">
        <f t="shared" si="27"/>
        <v>0.0273649353507721</v>
      </c>
      <c r="S55" s="22">
        <f t="shared" si="27"/>
        <v>0.008075911180904552</v>
      </c>
      <c r="T55" s="22">
        <f t="shared" si="27"/>
        <v>0.06882737698295698</v>
      </c>
      <c r="U55" s="22">
        <f t="shared" si="27"/>
        <v>0.00739144841301181</v>
      </c>
      <c r="V55" s="23">
        <f t="shared" si="27"/>
        <v>0.09844498628663434</v>
      </c>
    </row>
    <row r="56" spans="1:22" ht="15" customHeight="1">
      <c r="A56" s="87">
        <v>2050</v>
      </c>
      <c r="B56" s="72">
        <v>1</v>
      </c>
      <c r="C56" s="72">
        <v>0.13757035795892147</v>
      </c>
      <c r="D56" s="72">
        <v>0.20797604948481246</v>
      </c>
      <c r="E56" s="72">
        <v>0.11603305912701226</v>
      </c>
      <c r="F56" s="72">
        <v>0.5384205334292538</v>
      </c>
      <c r="G56" s="90">
        <v>242584.8245155346</v>
      </c>
      <c r="H56" s="21">
        <v>1</v>
      </c>
      <c r="I56" s="21">
        <v>0.08625022108061789</v>
      </c>
      <c r="J56" s="22">
        <v>0.02076898800067786</v>
      </c>
      <c r="K56" s="23">
        <v>0.030551148877625747</v>
      </c>
      <c r="L56" s="22">
        <v>0.1178630676207393</v>
      </c>
      <c r="M56" s="22">
        <v>0.09011298186407317</v>
      </c>
      <c r="N56" s="21">
        <v>0.028887697695918497</v>
      </c>
      <c r="O56" s="23">
        <v>0.08714536143109376</v>
      </c>
      <c r="P56" s="22">
        <v>0.2160898808024193</v>
      </c>
      <c r="Q56" s="22">
        <v>0.11769899030492577</v>
      </c>
      <c r="R56" s="22">
        <v>0.02112133292342832</v>
      </c>
      <c r="S56" s="22">
        <v>0.007088602369832481</v>
      </c>
      <c r="T56" s="22">
        <v>0.07129745006670857</v>
      </c>
      <c r="U56" s="22">
        <v>0.0072944341988187</v>
      </c>
      <c r="V56" s="23">
        <v>0.09782984276312055</v>
      </c>
    </row>
    <row r="57" spans="1:22" ht="15" customHeight="1">
      <c r="A57" s="87">
        <v>2060</v>
      </c>
      <c r="B57" s="72">
        <f>(B56+B58)/2</f>
        <v>1</v>
      </c>
      <c r="C57" s="72">
        <f>(C56+C58)/2</f>
        <v>0.12790655605583026</v>
      </c>
      <c r="D57" s="72">
        <f>(D56+D58)/2</f>
        <v>0.20845510910102683</v>
      </c>
      <c r="E57" s="72">
        <f>(E56+E58)/2</f>
        <v>0.1338089412634645</v>
      </c>
      <c r="F57" s="72">
        <f>(F56+F58)/2</f>
        <v>0.5298293935796784</v>
      </c>
      <c r="G57" s="90">
        <f t="shared" si="26"/>
        <v>292640.9768692471</v>
      </c>
      <c r="H57" s="21">
        <f aca="true" t="shared" si="28" ref="H57:V57">(H56+H58)/2</f>
        <v>1</v>
      </c>
      <c r="I57" s="21">
        <f t="shared" si="28"/>
        <v>0.08120590785394327</v>
      </c>
      <c r="J57" s="22">
        <f t="shared" si="28"/>
        <v>0.01887331749675876</v>
      </c>
      <c r="K57" s="23">
        <f t="shared" si="28"/>
        <v>0.02782733070512823</v>
      </c>
      <c r="L57" s="22">
        <f t="shared" si="28"/>
        <v>0.11636977241731009</v>
      </c>
      <c r="M57" s="22">
        <f t="shared" si="28"/>
        <v>0.09208533668371674</v>
      </c>
      <c r="N57" s="21">
        <f t="shared" si="28"/>
        <v>0.029751016609189933</v>
      </c>
      <c r="O57" s="23">
        <f t="shared" si="28"/>
        <v>0.10405792465427456</v>
      </c>
      <c r="P57" s="22">
        <f t="shared" si="28"/>
        <v>0.19756226097192597</v>
      </c>
      <c r="Q57" s="22">
        <f t="shared" si="28"/>
        <v>0.12134313777602448</v>
      </c>
      <c r="R57" s="22">
        <f t="shared" si="28"/>
        <v>0.019139202771559526</v>
      </c>
      <c r="S57" s="22">
        <f t="shared" si="28"/>
        <v>0.0069491340155505964</v>
      </c>
      <c r="T57" s="22">
        <f t="shared" si="28"/>
        <v>0.07656270630181386</v>
      </c>
      <c r="U57" s="22">
        <f t="shared" si="28"/>
        <v>0.007523305409189805</v>
      </c>
      <c r="V57" s="23">
        <f t="shared" si="28"/>
        <v>0.10074964633361413</v>
      </c>
    </row>
    <row r="58" spans="1:22" ht="15" customHeight="1">
      <c r="A58" s="87">
        <v>2070</v>
      </c>
      <c r="B58" s="72">
        <v>1</v>
      </c>
      <c r="C58" s="72">
        <v>0.11824275415273904</v>
      </c>
      <c r="D58" s="72">
        <v>0.20893416871724121</v>
      </c>
      <c r="E58" s="72">
        <v>0.15158482339991672</v>
      </c>
      <c r="F58" s="72">
        <v>0.521238253730103</v>
      </c>
      <c r="G58" s="56">
        <v>342697.1292229596</v>
      </c>
      <c r="H58" s="21">
        <v>1</v>
      </c>
      <c r="I58" s="21">
        <v>0.07616159462726865</v>
      </c>
      <c r="J58" s="22">
        <v>0.016977646992839664</v>
      </c>
      <c r="K58" s="23">
        <v>0.025103512532630712</v>
      </c>
      <c r="L58" s="22">
        <v>0.11487647721388089</v>
      </c>
      <c r="M58" s="22">
        <v>0.09405769150336031</v>
      </c>
      <c r="N58" s="21">
        <v>0.030614335522461365</v>
      </c>
      <c r="O58" s="23">
        <v>0.12097048787745536</v>
      </c>
      <c r="P58" s="22">
        <v>0.17903464114143264</v>
      </c>
      <c r="Q58" s="22">
        <v>0.1249872852471232</v>
      </c>
      <c r="R58" s="22">
        <v>0.017157072619690735</v>
      </c>
      <c r="S58" s="22">
        <v>0.006809665661268711</v>
      </c>
      <c r="T58" s="22">
        <v>0.08182796253691915</v>
      </c>
      <c r="U58" s="22">
        <v>0.007752176619560911</v>
      </c>
      <c r="V58" s="23">
        <v>0.1036694499041077</v>
      </c>
    </row>
    <row r="59" spans="1:22" ht="15" customHeight="1">
      <c r="A59" s="87">
        <v>2080</v>
      </c>
      <c r="B59" s="72">
        <f aca="true" t="shared" si="29" ref="B59:K60">B58+(B$61-B$58)/3</f>
        <v>1</v>
      </c>
      <c r="C59" s="72">
        <f t="shared" si="29"/>
        <v>0.11602606156163388</v>
      </c>
      <c r="D59" s="72">
        <f t="shared" si="29"/>
        <v>0.2094820896072158</v>
      </c>
      <c r="E59" s="72">
        <f t="shared" si="29"/>
        <v>0.16582004118053534</v>
      </c>
      <c r="F59" s="72">
        <f t="shared" si="29"/>
        <v>0.5086718076506149</v>
      </c>
      <c r="G59" s="90">
        <f t="shared" si="29"/>
        <v>398851.73565410735</v>
      </c>
      <c r="H59" s="21">
        <f t="shared" si="29"/>
        <v>1</v>
      </c>
      <c r="I59" s="21">
        <f t="shared" si="29"/>
        <v>0.0753495104634257</v>
      </c>
      <c r="J59" s="22">
        <f t="shared" si="29"/>
        <v>0.016327844794804976</v>
      </c>
      <c r="K59" s="23">
        <f t="shared" si="29"/>
        <v>0.024348706303403203</v>
      </c>
      <c r="L59" s="22">
        <f aca="true" t="shared" si="30" ref="L59:U60">L58+(L$61-L$58)/3</f>
        <v>0.11646417094712382</v>
      </c>
      <c r="M59" s="22">
        <f t="shared" si="30"/>
        <v>0.09301791866009196</v>
      </c>
      <c r="N59" s="21">
        <f t="shared" si="30"/>
        <v>0.030317301672125256</v>
      </c>
      <c r="O59" s="23">
        <f t="shared" si="30"/>
        <v>0.1355027395084101</v>
      </c>
      <c r="P59" s="22">
        <f t="shared" si="30"/>
        <v>0.16718552246342255</v>
      </c>
      <c r="Q59" s="22">
        <f t="shared" si="30"/>
        <v>0.12296392529574984</v>
      </c>
      <c r="R59" s="22">
        <f t="shared" si="30"/>
        <v>0.01654215310775966</v>
      </c>
      <c r="S59" s="22">
        <f t="shared" si="30"/>
        <v>0.006859674620949092</v>
      </c>
      <c r="T59" s="22">
        <f t="shared" si="30"/>
        <v>0.084448191335499</v>
      </c>
      <c r="U59" s="22">
        <f t="shared" si="30"/>
        <v>0.007793494957333347</v>
      </c>
      <c r="V59" s="23">
        <f>V58+(V$61-V$58)/3</f>
        <v>0.10287884586990145</v>
      </c>
    </row>
    <row r="60" spans="1:22" ht="15" customHeight="1">
      <c r="A60" s="87">
        <v>2090</v>
      </c>
      <c r="B60" s="72">
        <f t="shared" si="29"/>
        <v>1</v>
      </c>
      <c r="C60" s="72">
        <f t="shared" si="29"/>
        <v>0.11380936897052872</v>
      </c>
      <c r="D60" s="72">
        <f t="shared" si="29"/>
        <v>0.21003001049719036</v>
      </c>
      <c r="E60" s="72">
        <f t="shared" si="29"/>
        <v>0.18005525896115396</v>
      </c>
      <c r="F60" s="72">
        <f t="shared" si="29"/>
        <v>0.49610536157112683</v>
      </c>
      <c r="G60" s="90">
        <f t="shared" si="29"/>
        <v>455006.34208525514</v>
      </c>
      <c r="H60" s="21">
        <f t="shared" si="29"/>
        <v>1</v>
      </c>
      <c r="I60" s="21">
        <f t="shared" si="29"/>
        <v>0.07453742629958274</v>
      </c>
      <c r="J60" s="22">
        <f t="shared" si="29"/>
        <v>0.01567804259677029</v>
      </c>
      <c r="K60" s="23">
        <f t="shared" si="29"/>
        <v>0.023593900074175694</v>
      </c>
      <c r="L60" s="22">
        <f t="shared" si="30"/>
        <v>0.11805186468036674</v>
      </c>
      <c r="M60" s="22">
        <f t="shared" si="30"/>
        <v>0.0919781458168236</v>
      </c>
      <c r="N60" s="21">
        <f t="shared" si="30"/>
        <v>0.030020267821789147</v>
      </c>
      <c r="O60" s="23">
        <f t="shared" si="30"/>
        <v>0.15003499113936483</v>
      </c>
      <c r="P60" s="22">
        <f t="shared" si="30"/>
        <v>0.15533640378541247</v>
      </c>
      <c r="Q60" s="22">
        <f t="shared" si="30"/>
        <v>0.12094056534437649</v>
      </c>
      <c r="R60" s="22">
        <f t="shared" si="30"/>
        <v>0.015927233595828587</v>
      </c>
      <c r="S60" s="22">
        <f t="shared" si="30"/>
        <v>0.006909683580629473</v>
      </c>
      <c r="T60" s="22">
        <f t="shared" si="30"/>
        <v>0.08706842013407884</v>
      </c>
      <c r="U60" s="22">
        <f t="shared" si="30"/>
        <v>0.007834813295105783</v>
      </c>
      <c r="V60" s="23">
        <f>V59+(V$61-V$58)/3</f>
        <v>0.1020882418356952</v>
      </c>
    </row>
    <row r="61" spans="1:22" ht="15" customHeight="1" thickBot="1">
      <c r="A61" s="88">
        <v>2100</v>
      </c>
      <c r="B61" s="73">
        <v>1</v>
      </c>
      <c r="C61" s="73">
        <v>0.11159267637942358</v>
      </c>
      <c r="D61" s="73">
        <v>0.21057793138716496</v>
      </c>
      <c r="E61" s="73">
        <v>0.1942904767417726</v>
      </c>
      <c r="F61" s="73">
        <v>0.4835389154916388</v>
      </c>
      <c r="G61" s="90">
        <v>511160.948516403</v>
      </c>
      <c r="H61" s="24">
        <v>1</v>
      </c>
      <c r="I61" s="24">
        <v>0.0737253421357398</v>
      </c>
      <c r="J61" s="25">
        <v>0.015028240398735598</v>
      </c>
      <c r="K61" s="26">
        <v>0.02283909384494819</v>
      </c>
      <c r="L61" s="25">
        <v>0.11963955841360968</v>
      </c>
      <c r="M61" s="25">
        <v>0.09093837297355527</v>
      </c>
      <c r="N61" s="24">
        <v>0.029723233971453038</v>
      </c>
      <c r="O61" s="26">
        <v>0.16456724277031956</v>
      </c>
      <c r="P61" s="25">
        <v>0.1434872851074024</v>
      </c>
      <c r="Q61" s="25">
        <v>0.11891720539300314</v>
      </c>
      <c r="R61" s="25">
        <v>0.015312314083897513</v>
      </c>
      <c r="S61" s="25">
        <v>0.006959692540309854</v>
      </c>
      <c r="T61" s="25">
        <v>0.0896886489326587</v>
      </c>
      <c r="U61" s="25">
        <v>0.007876131632878218</v>
      </c>
      <c r="V61" s="26">
        <v>0.10129763780148894</v>
      </c>
    </row>
    <row r="62" spans="8:24" ht="34.5" customHeight="1" thickTop="1">
      <c r="H62" s="91" t="s">
        <v>104</v>
      </c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3"/>
      <c r="W62" s="67"/>
      <c r="X62" s="67"/>
    </row>
    <row r="63" spans="8:22" ht="15" customHeight="1">
      <c r="H63" s="94" t="s">
        <v>106</v>
      </c>
      <c r="I63" s="22">
        <v>0.1</v>
      </c>
      <c r="J63" s="22">
        <v>0.1</v>
      </c>
      <c r="K63" s="22">
        <v>0.1</v>
      </c>
      <c r="L63" s="22">
        <v>0.1</v>
      </c>
      <c r="M63" s="22">
        <v>0.2</v>
      </c>
      <c r="N63" s="22">
        <v>0.2</v>
      </c>
      <c r="O63" s="22">
        <v>0.2</v>
      </c>
      <c r="P63" s="22">
        <v>0.3</v>
      </c>
      <c r="Q63" s="22">
        <v>0.2</v>
      </c>
      <c r="R63" s="22">
        <v>0.1</v>
      </c>
      <c r="S63" s="22">
        <v>0.1</v>
      </c>
      <c r="T63" s="22">
        <v>0.2</v>
      </c>
      <c r="U63" s="22">
        <v>0.2</v>
      </c>
      <c r="V63" s="23">
        <v>0.2</v>
      </c>
    </row>
    <row r="64" spans="8:22" ht="15" customHeight="1">
      <c r="H64" s="94" t="s">
        <v>107</v>
      </c>
      <c r="I64" s="22">
        <v>0.1</v>
      </c>
      <c r="J64" s="22">
        <v>0.1</v>
      </c>
      <c r="K64" s="22">
        <v>0.1</v>
      </c>
      <c r="L64" s="22">
        <v>0.1</v>
      </c>
      <c r="M64" s="22">
        <v>0.2</v>
      </c>
      <c r="N64" s="22">
        <v>0.2</v>
      </c>
      <c r="O64" s="22">
        <v>0.2</v>
      </c>
      <c r="P64" s="22">
        <v>0.3</v>
      </c>
      <c r="Q64" s="22">
        <v>0.2</v>
      </c>
      <c r="R64" s="22">
        <v>0.1</v>
      </c>
      <c r="S64" s="22">
        <v>0.1</v>
      </c>
      <c r="T64" s="22">
        <v>0.2</v>
      </c>
      <c r="U64" s="22">
        <v>0.2</v>
      </c>
      <c r="V64" s="23">
        <v>0.2</v>
      </c>
    </row>
    <row r="65" spans="8:22" ht="15" customHeight="1">
      <c r="H65" s="94" t="s">
        <v>108</v>
      </c>
      <c r="I65" s="22">
        <v>0.1</v>
      </c>
      <c r="J65" s="22">
        <v>0.1</v>
      </c>
      <c r="K65" s="22">
        <v>0.1</v>
      </c>
      <c r="L65" s="22">
        <v>0.1</v>
      </c>
      <c r="M65" s="22">
        <v>0.2</v>
      </c>
      <c r="N65" s="22">
        <v>0.2</v>
      </c>
      <c r="O65" s="22">
        <v>0.2</v>
      </c>
      <c r="P65" s="22">
        <v>0.3</v>
      </c>
      <c r="Q65" s="22">
        <v>0.2</v>
      </c>
      <c r="R65" s="22">
        <v>0.1</v>
      </c>
      <c r="S65" s="22">
        <v>0.1</v>
      </c>
      <c r="T65" s="22">
        <v>0.2</v>
      </c>
      <c r="U65" s="22">
        <v>0.2</v>
      </c>
      <c r="V65" s="23">
        <v>0.2</v>
      </c>
    </row>
    <row r="66" spans="8:22" ht="15" customHeight="1">
      <c r="H66" s="94" t="s">
        <v>109</v>
      </c>
      <c r="I66" s="22">
        <v>0.1</v>
      </c>
      <c r="J66" s="22">
        <v>0.1</v>
      </c>
      <c r="K66" s="22">
        <v>0.1</v>
      </c>
      <c r="L66" s="22">
        <v>0.1</v>
      </c>
      <c r="M66" s="22">
        <v>0.2</v>
      </c>
      <c r="N66" s="22">
        <v>0.2</v>
      </c>
      <c r="O66" s="22">
        <v>0.2</v>
      </c>
      <c r="P66" s="22">
        <v>0.25</v>
      </c>
      <c r="Q66" s="22">
        <v>0.2</v>
      </c>
      <c r="R66" s="22">
        <v>0.1</v>
      </c>
      <c r="S66" s="22">
        <v>0.1</v>
      </c>
      <c r="T66" s="22">
        <v>0.2</v>
      </c>
      <c r="U66" s="22">
        <v>0.2</v>
      </c>
      <c r="V66" s="23">
        <v>0.2</v>
      </c>
    </row>
    <row r="67" spans="8:22" ht="15" customHeight="1">
      <c r="H67" s="94" t="s">
        <v>110</v>
      </c>
      <c r="I67" s="22">
        <v>0.1</v>
      </c>
      <c r="J67" s="22">
        <v>0.1</v>
      </c>
      <c r="K67" s="22">
        <v>0.1</v>
      </c>
      <c r="L67" s="22">
        <v>0.1</v>
      </c>
      <c r="M67" s="22">
        <v>0.2</v>
      </c>
      <c r="N67" s="22">
        <v>0.2</v>
      </c>
      <c r="O67" s="22">
        <v>0.2</v>
      </c>
      <c r="P67" s="22">
        <v>0.15</v>
      </c>
      <c r="Q67" s="22">
        <v>0.15</v>
      </c>
      <c r="R67" s="22">
        <v>0.1</v>
      </c>
      <c r="S67" s="22">
        <v>0.1</v>
      </c>
      <c r="T67" s="22">
        <v>0.2</v>
      </c>
      <c r="U67" s="22">
        <v>0.2</v>
      </c>
      <c r="V67" s="23">
        <v>0.2</v>
      </c>
    </row>
    <row r="68" spans="8:22" ht="15" customHeight="1">
      <c r="H68" s="94" t="s">
        <v>111</v>
      </c>
      <c r="I68" s="22">
        <v>0.1</v>
      </c>
      <c r="J68" s="22">
        <v>0.1</v>
      </c>
      <c r="K68" s="22">
        <v>0.1</v>
      </c>
      <c r="L68" s="22">
        <v>0.1</v>
      </c>
      <c r="M68" s="22">
        <v>0.1</v>
      </c>
      <c r="N68" s="22">
        <v>0.1</v>
      </c>
      <c r="O68" s="22">
        <v>0.15</v>
      </c>
      <c r="P68" s="22">
        <v>0.1</v>
      </c>
      <c r="Q68" s="22">
        <v>0.1</v>
      </c>
      <c r="R68" s="22">
        <v>0.1</v>
      </c>
      <c r="S68" s="22">
        <v>0.1</v>
      </c>
      <c r="T68" s="22">
        <v>0.1</v>
      </c>
      <c r="U68" s="22">
        <v>0.1</v>
      </c>
      <c r="V68" s="23">
        <v>0.1</v>
      </c>
    </row>
    <row r="69" spans="8:22" ht="15" customHeight="1">
      <c r="H69" s="94" t="s">
        <v>112</v>
      </c>
      <c r="I69" s="22">
        <v>0.1</v>
      </c>
      <c r="J69" s="22">
        <v>0.1</v>
      </c>
      <c r="K69" s="22">
        <v>0.1</v>
      </c>
      <c r="L69" s="22">
        <v>0.1</v>
      </c>
      <c r="M69" s="22">
        <v>0.1</v>
      </c>
      <c r="N69" s="22">
        <v>0.1</v>
      </c>
      <c r="O69" s="22">
        <v>0.15</v>
      </c>
      <c r="P69" s="22">
        <v>0.1</v>
      </c>
      <c r="Q69" s="22">
        <v>0.1</v>
      </c>
      <c r="R69" s="22">
        <v>0.1</v>
      </c>
      <c r="S69" s="22">
        <v>0.1</v>
      </c>
      <c r="T69" s="22">
        <v>0.1</v>
      </c>
      <c r="U69" s="22">
        <v>0.1</v>
      </c>
      <c r="V69" s="23">
        <v>0.1</v>
      </c>
    </row>
    <row r="70" spans="8:22" ht="15" customHeight="1">
      <c r="H70" s="94" t="s">
        <v>113</v>
      </c>
      <c r="I70" s="22">
        <v>0.1</v>
      </c>
      <c r="J70" s="22">
        <v>0.1</v>
      </c>
      <c r="K70" s="22">
        <v>0.1</v>
      </c>
      <c r="L70" s="22">
        <v>0.1</v>
      </c>
      <c r="M70" s="22">
        <v>0.1</v>
      </c>
      <c r="N70" s="22">
        <v>0.1</v>
      </c>
      <c r="O70" s="22">
        <v>0.1</v>
      </c>
      <c r="P70" s="22">
        <v>0.1</v>
      </c>
      <c r="Q70" s="22">
        <v>0.1</v>
      </c>
      <c r="R70" s="22">
        <v>0.1</v>
      </c>
      <c r="S70" s="22">
        <v>0.1</v>
      </c>
      <c r="T70" s="22">
        <v>0.1</v>
      </c>
      <c r="U70" s="22">
        <v>0.1</v>
      </c>
      <c r="V70" s="23">
        <v>0.1</v>
      </c>
    </row>
    <row r="71" spans="8:22" ht="15" customHeight="1" thickBot="1">
      <c r="H71" s="95" t="s">
        <v>114</v>
      </c>
      <c r="I71" s="25">
        <v>0.1</v>
      </c>
      <c r="J71" s="25">
        <v>0.1</v>
      </c>
      <c r="K71" s="25">
        <v>0.1</v>
      </c>
      <c r="L71" s="25">
        <v>0.1</v>
      </c>
      <c r="M71" s="25">
        <v>0.1</v>
      </c>
      <c r="N71" s="25">
        <v>0.1</v>
      </c>
      <c r="O71" s="25">
        <v>0.1</v>
      </c>
      <c r="P71" s="25">
        <v>0.1</v>
      </c>
      <c r="Q71" s="25">
        <v>0.1</v>
      </c>
      <c r="R71" s="25">
        <v>0.1</v>
      </c>
      <c r="S71" s="25">
        <v>0.1</v>
      </c>
      <c r="T71" s="25">
        <v>0.1</v>
      </c>
      <c r="U71" s="25">
        <v>0.1</v>
      </c>
      <c r="V71" s="26">
        <v>0.1</v>
      </c>
    </row>
    <row r="72" ht="15" customHeight="1" thickTop="1"/>
    <row r="73" ht="15" customHeight="1">
      <c r="A73" s="14" t="s">
        <v>21</v>
      </c>
    </row>
    <row r="74" ht="15" customHeight="1">
      <c r="A74" s="14" t="s">
        <v>103</v>
      </c>
    </row>
    <row r="75" ht="15" customHeight="1" thickBot="1"/>
    <row r="76" spans="1:6" ht="15" customHeight="1" thickTop="1">
      <c r="A76" s="157" t="s">
        <v>138</v>
      </c>
      <c r="B76" s="158"/>
      <c r="C76" s="158"/>
      <c r="D76" s="158"/>
      <c r="E76" s="158"/>
      <c r="F76" s="159"/>
    </row>
    <row r="77" spans="1:6" ht="15" customHeight="1">
      <c r="A77" s="160"/>
      <c r="B77" s="161"/>
      <c r="C77" s="161"/>
      <c r="D77" s="161"/>
      <c r="E77" s="161"/>
      <c r="F77" s="162"/>
    </row>
    <row r="78" spans="1:6" ht="15" customHeight="1" thickBot="1">
      <c r="A78" s="163"/>
      <c r="B78" s="164"/>
      <c r="C78" s="164"/>
      <c r="D78" s="164"/>
      <c r="E78" s="164"/>
      <c r="F78" s="165"/>
    </row>
    <row r="79" ht="15" customHeight="1" thickBot="1" thickTop="1"/>
    <row r="80" spans="1:6" ht="49.5" customHeight="1" thickBot="1" thickTop="1">
      <c r="A80" s="96" t="s">
        <v>119</v>
      </c>
      <c r="B80" s="82" t="s">
        <v>19</v>
      </c>
      <c r="C80" s="99" t="s">
        <v>0</v>
      </c>
      <c r="D80" s="97" t="s">
        <v>1</v>
      </c>
      <c r="E80" s="97" t="s">
        <v>2</v>
      </c>
      <c r="F80" s="98" t="s">
        <v>3</v>
      </c>
    </row>
    <row r="81" spans="1:22" ht="15" customHeight="1" thickTop="1">
      <c r="A81" s="77">
        <v>1870</v>
      </c>
      <c r="B81" s="71">
        <f>B8</f>
        <v>4.469529333389138</v>
      </c>
      <c r="C81" s="71">
        <f aca="true" t="shared" si="31" ref="C81:F104">C8*C38</f>
        <v>2.665153834428229</v>
      </c>
      <c r="D81" s="71">
        <f t="shared" si="31"/>
        <v>0.48112567920886384</v>
      </c>
      <c r="E81" s="71">
        <f t="shared" si="31"/>
        <v>0.09119009770358905</v>
      </c>
      <c r="F81" s="71">
        <f t="shared" si="31"/>
        <v>1.232059722048457</v>
      </c>
      <c r="H81" s="83">
        <f>H8*H38</f>
        <v>4.469529333389138</v>
      </c>
      <c r="I81" s="84">
        <f aca="true" t="shared" si="32" ref="I81:V81">I8*I38</f>
        <v>2.321626871526083</v>
      </c>
      <c r="J81" s="84">
        <f t="shared" si="32"/>
        <v>0.1528828947080021</v>
      </c>
      <c r="K81" s="84">
        <f t="shared" si="32"/>
        <v>0.19064406819414356</v>
      </c>
      <c r="L81" s="84">
        <f t="shared" si="32"/>
        <v>0.4104285650129322</v>
      </c>
      <c r="M81" s="84">
        <f t="shared" si="32"/>
        <v>0.07069711419593168</v>
      </c>
      <c r="N81" s="84">
        <f t="shared" si="32"/>
        <v>0.027017053515471498</v>
      </c>
      <c r="O81" s="84">
        <f t="shared" si="32"/>
        <v>0.06417304418811753</v>
      </c>
      <c r="P81" s="84">
        <f t="shared" si="32"/>
        <v>0.5073514531540223</v>
      </c>
      <c r="Q81" s="84">
        <f t="shared" si="32"/>
        <v>0.3517570784136913</v>
      </c>
      <c r="R81" s="84">
        <f t="shared" si="32"/>
        <v>0.1406273570390624</v>
      </c>
      <c r="S81" s="84">
        <f t="shared" si="32"/>
        <v>0.015553591814929596</v>
      </c>
      <c r="T81" s="84">
        <f t="shared" si="32"/>
        <v>0.07177559128691695</v>
      </c>
      <c r="U81" s="84">
        <f t="shared" si="32"/>
        <v>0.03230019490347523</v>
      </c>
      <c r="V81" s="85">
        <f t="shared" si="32"/>
        <v>0.11269445543635932</v>
      </c>
    </row>
    <row r="82" spans="1:22" ht="15" customHeight="1">
      <c r="A82" s="78">
        <v>1880</v>
      </c>
      <c r="B82" s="72">
        <f aca="true" t="shared" si="33" ref="B82:B104">B9</f>
        <v>4.644941227825645</v>
      </c>
      <c r="C82" s="72">
        <f t="shared" si="31"/>
        <v>2.688117788748462</v>
      </c>
      <c r="D82" s="72">
        <f t="shared" si="31"/>
        <v>0.7392732003350752</v>
      </c>
      <c r="E82" s="72">
        <f t="shared" si="31"/>
        <v>0.0944508436929648</v>
      </c>
      <c r="F82" s="72">
        <f t="shared" si="31"/>
        <v>1.1230993950491426</v>
      </c>
      <c r="H82" s="21">
        <f aca="true" t="shared" si="34" ref="H82:V82">H9*H39</f>
        <v>4.644941227825645</v>
      </c>
      <c r="I82" s="22">
        <f t="shared" si="34"/>
        <v>2.2948749219640763</v>
      </c>
      <c r="J82" s="22">
        <f t="shared" si="34"/>
        <v>0.17331361281248975</v>
      </c>
      <c r="K82" s="22">
        <f t="shared" si="34"/>
        <v>0.21992925397189597</v>
      </c>
      <c r="L82" s="22">
        <f t="shared" si="34"/>
        <v>0.6320931816642618</v>
      </c>
      <c r="M82" s="22">
        <f t="shared" si="34"/>
        <v>0.10718001867081335</v>
      </c>
      <c r="N82" s="22">
        <f t="shared" si="34"/>
        <v>0.02791100892953667</v>
      </c>
      <c r="O82" s="22">
        <f t="shared" si="34"/>
        <v>0.06653983476342813</v>
      </c>
      <c r="P82" s="22">
        <f t="shared" si="34"/>
        <v>0.4170339018750176</v>
      </c>
      <c r="Q82" s="22">
        <f t="shared" si="34"/>
        <v>0.30787534442276304</v>
      </c>
      <c r="R82" s="22">
        <f t="shared" si="34"/>
        <v>0.15100767373203178</v>
      </c>
      <c r="S82" s="22">
        <f t="shared" si="34"/>
        <v>0.024067464457062013</v>
      </c>
      <c r="T82" s="22">
        <f t="shared" si="34"/>
        <v>0.06744271725142063</v>
      </c>
      <c r="U82" s="22">
        <f t="shared" si="34"/>
        <v>0.03726188722029362</v>
      </c>
      <c r="V82" s="23">
        <f t="shared" si="34"/>
        <v>0.11841040609055407</v>
      </c>
    </row>
    <row r="83" spans="1:22" ht="15" customHeight="1">
      <c r="A83" s="78">
        <v>1890</v>
      </c>
      <c r="B83" s="72">
        <f t="shared" si="33"/>
        <v>4.734627618800186</v>
      </c>
      <c r="C83" s="72">
        <f t="shared" si="31"/>
        <v>2.6203684153207476</v>
      </c>
      <c r="D83" s="72">
        <f t="shared" si="31"/>
        <v>0.8064777108425951</v>
      </c>
      <c r="E83" s="72">
        <f t="shared" si="31"/>
        <v>0.10990581133253788</v>
      </c>
      <c r="F83" s="72">
        <f t="shared" si="31"/>
        <v>1.1978756813043054</v>
      </c>
      <c r="H83" s="21">
        <f aca="true" t="shared" si="35" ref="H83:V83">H10*H40</f>
        <v>4.734627618800185</v>
      </c>
      <c r="I83" s="22">
        <f t="shared" si="35"/>
        <v>2.196876097245255</v>
      </c>
      <c r="J83" s="22">
        <f t="shared" si="35"/>
        <v>0.1866454291826813</v>
      </c>
      <c r="K83" s="22">
        <f t="shared" si="35"/>
        <v>0.23684688889281102</v>
      </c>
      <c r="L83" s="22">
        <f t="shared" si="35"/>
        <v>0.69105307535095</v>
      </c>
      <c r="M83" s="22">
        <f t="shared" si="35"/>
        <v>0.11542463549164515</v>
      </c>
      <c r="N83" s="22">
        <f t="shared" si="35"/>
        <v>0.03005800961642411</v>
      </c>
      <c r="O83" s="22">
        <f t="shared" si="35"/>
        <v>0.07984780171611376</v>
      </c>
      <c r="P83" s="22">
        <f t="shared" si="35"/>
        <v>0.4491134327884805</v>
      </c>
      <c r="Q83" s="22">
        <f t="shared" si="35"/>
        <v>0.3315580632245141</v>
      </c>
      <c r="R83" s="22">
        <f t="shared" si="35"/>
        <v>0.15100767373203178</v>
      </c>
      <c r="S83" s="22">
        <f t="shared" si="35"/>
        <v>0.025918807876836016</v>
      </c>
      <c r="T83" s="22">
        <f t="shared" si="35"/>
        <v>0.072630618578453</v>
      </c>
      <c r="U83" s="22">
        <f t="shared" si="35"/>
        <v>0.04012818623723928</v>
      </c>
      <c r="V83" s="23">
        <f t="shared" si="35"/>
        <v>0.12751889886675055</v>
      </c>
    </row>
    <row r="84" spans="1:22" ht="15" customHeight="1">
      <c r="A84" s="78">
        <v>1900</v>
      </c>
      <c r="B84" s="72">
        <f t="shared" si="33"/>
        <v>4.887788188920047</v>
      </c>
      <c r="C84" s="72">
        <f t="shared" si="31"/>
        <v>2.718312118073074</v>
      </c>
      <c r="D84" s="72">
        <f t="shared" si="31"/>
        <v>0.7714633243153944</v>
      </c>
      <c r="E84" s="72">
        <f t="shared" si="31"/>
        <v>0.12536077897211093</v>
      </c>
      <c r="F84" s="72">
        <f t="shared" si="31"/>
        <v>1.2726519675594676</v>
      </c>
      <c r="H84" s="21">
        <f aca="true" t="shared" si="36" ref="H84:V84">H11*H41</f>
        <v>4.887788188920048</v>
      </c>
      <c r="I84" s="22">
        <f t="shared" si="36"/>
        <v>2.2645703487064752</v>
      </c>
      <c r="J84" s="22">
        <f t="shared" si="36"/>
        <v>0.1999772455528728</v>
      </c>
      <c r="K84" s="22">
        <f t="shared" si="36"/>
        <v>0.2537645238137261</v>
      </c>
      <c r="L84" s="22">
        <f t="shared" si="36"/>
        <v>0.6477940720029175</v>
      </c>
      <c r="M84" s="22">
        <f t="shared" si="36"/>
        <v>0.12366925231247694</v>
      </c>
      <c r="N84" s="22">
        <f t="shared" si="36"/>
        <v>0.03220501030331154</v>
      </c>
      <c r="O84" s="22">
        <f t="shared" si="36"/>
        <v>0.09315576866879939</v>
      </c>
      <c r="P84" s="22">
        <f t="shared" si="36"/>
        <v>0.48119296370194337</v>
      </c>
      <c r="Q84" s="22">
        <f t="shared" si="36"/>
        <v>0.3552407820262651</v>
      </c>
      <c r="R84" s="22">
        <f t="shared" si="36"/>
        <v>0.15100767373203178</v>
      </c>
      <c r="S84" s="22">
        <f t="shared" si="36"/>
        <v>0.027770151296610014</v>
      </c>
      <c r="T84" s="22">
        <f t="shared" si="36"/>
        <v>0.07781851990548536</v>
      </c>
      <c r="U84" s="22">
        <f t="shared" si="36"/>
        <v>0.04299448525418494</v>
      </c>
      <c r="V84" s="23">
        <f t="shared" si="36"/>
        <v>0.13662739164294702</v>
      </c>
    </row>
    <row r="85" spans="1:22" ht="15" customHeight="1">
      <c r="A85" s="79">
        <v>1910</v>
      </c>
      <c r="B85" s="72">
        <f t="shared" si="33"/>
        <v>5.019197051858351</v>
      </c>
      <c r="C85" s="72">
        <f t="shared" si="31"/>
        <v>2.7650927017152087</v>
      </c>
      <c r="D85" s="72">
        <f t="shared" si="31"/>
        <v>1.0378556860722996</v>
      </c>
      <c r="E85" s="72">
        <f t="shared" si="31"/>
        <v>0.11726266682650428</v>
      </c>
      <c r="F85" s="72">
        <f t="shared" si="31"/>
        <v>1.0989859972443379</v>
      </c>
      <c r="H85" s="21">
        <f aca="true" t="shared" si="37" ref="H85:V85">H12*H42</f>
        <v>5.019197051858351</v>
      </c>
      <c r="I85" s="22">
        <f t="shared" si="37"/>
        <v>2.255146210935992</v>
      </c>
      <c r="J85" s="22">
        <f t="shared" si="37"/>
        <v>0.22277426423545918</v>
      </c>
      <c r="K85" s="22">
        <f t="shared" si="37"/>
        <v>0.2871722265437577</v>
      </c>
      <c r="L85" s="22">
        <f t="shared" si="37"/>
        <v>0.8682907667335911</v>
      </c>
      <c r="M85" s="22">
        <f t="shared" si="37"/>
        <v>0.1695649193387086</v>
      </c>
      <c r="N85" s="22">
        <f t="shared" si="37"/>
        <v>0.0326812839597693</v>
      </c>
      <c r="O85" s="22">
        <f t="shared" si="37"/>
        <v>0.08458138286673497</v>
      </c>
      <c r="P85" s="22">
        <f t="shared" si="37"/>
        <v>0.35007638502544947</v>
      </c>
      <c r="Q85" s="22">
        <f t="shared" si="37"/>
        <v>0.2888375637711103</v>
      </c>
      <c r="R85" s="22">
        <f t="shared" si="37"/>
        <v>0.16138799042500118</v>
      </c>
      <c r="S85" s="22">
        <f t="shared" si="37"/>
        <v>0.038504867012861904</v>
      </c>
      <c r="T85" s="22">
        <f t="shared" si="37"/>
        <v>0.0703120540824795</v>
      </c>
      <c r="U85" s="22">
        <f t="shared" si="37"/>
        <v>0.048654642004294237</v>
      </c>
      <c r="V85" s="23">
        <f t="shared" si="37"/>
        <v>0.14121249492314117</v>
      </c>
    </row>
    <row r="86" spans="1:22" ht="15" customHeight="1">
      <c r="A86" s="79">
        <v>1920</v>
      </c>
      <c r="B86" s="72">
        <f t="shared" si="33"/>
        <v>3.576347699552414</v>
      </c>
      <c r="C86" s="72">
        <f t="shared" si="31"/>
        <v>1.2283014756963249</v>
      </c>
      <c r="D86" s="72">
        <f t="shared" si="31"/>
        <v>1.2206465634201258</v>
      </c>
      <c r="E86" s="72">
        <f t="shared" si="31"/>
        <v>0.13578674699833196</v>
      </c>
      <c r="F86" s="72">
        <f t="shared" si="31"/>
        <v>0.9916129134376314</v>
      </c>
      <c r="H86" s="21">
        <f aca="true" t="shared" si="38" ref="H86:V86">H13*H43</f>
        <v>3.5763476995524144</v>
      </c>
      <c r="I86" s="22">
        <f t="shared" si="38"/>
        <v>1.0566546044447782</v>
      </c>
      <c r="J86" s="22">
        <f t="shared" si="38"/>
        <v>0.0951079713048249</v>
      </c>
      <c r="K86" s="22">
        <f t="shared" si="38"/>
        <v>0.07653889994672172</v>
      </c>
      <c r="L86" s="22">
        <f t="shared" si="38"/>
        <v>0.9855710430306801</v>
      </c>
      <c r="M86" s="22">
        <f t="shared" si="38"/>
        <v>0.2350755203894457</v>
      </c>
      <c r="N86" s="22">
        <f t="shared" si="38"/>
        <v>0.034871314532120334</v>
      </c>
      <c r="O86" s="22">
        <f t="shared" si="38"/>
        <v>0.10091543246621162</v>
      </c>
      <c r="P86" s="22">
        <f t="shared" si="38"/>
        <v>0.26661244151920094</v>
      </c>
      <c r="Q86" s="22">
        <f t="shared" si="38"/>
        <v>0.22543272296162972</v>
      </c>
      <c r="R86" s="22">
        <f t="shared" si="38"/>
        <v>0.17415599658270342</v>
      </c>
      <c r="S86" s="22">
        <f t="shared" si="38"/>
        <v>0.044328515206877805</v>
      </c>
      <c r="T86" s="22">
        <f t="shared" si="38"/>
        <v>0.08261950329363485</v>
      </c>
      <c r="U86" s="22">
        <f t="shared" si="38"/>
        <v>0.05187093224341181</v>
      </c>
      <c r="V86" s="23">
        <f t="shared" si="38"/>
        <v>0.14659280163017296</v>
      </c>
    </row>
    <row r="87" spans="1:22" ht="15" customHeight="1">
      <c r="A87" s="79">
        <v>1930</v>
      </c>
      <c r="B87" s="72">
        <f t="shared" si="33"/>
        <v>3.611586819813277</v>
      </c>
      <c r="C87" s="72">
        <f t="shared" si="31"/>
        <v>1.3597353649737083</v>
      </c>
      <c r="D87" s="72">
        <f t="shared" si="31"/>
        <v>1.3516805815652009</v>
      </c>
      <c r="E87" s="72">
        <f t="shared" si="31"/>
        <v>0.10184006024874898</v>
      </c>
      <c r="F87" s="72">
        <f t="shared" si="31"/>
        <v>0.7983308130256188</v>
      </c>
      <c r="H87" s="21">
        <f aca="true" t="shared" si="39" ref="H87:V87">H14*H44</f>
        <v>3.611586819813276</v>
      </c>
      <c r="I87" s="22">
        <f t="shared" si="39"/>
        <v>1.1880884937221616</v>
      </c>
      <c r="J87" s="22">
        <f t="shared" si="39"/>
        <v>0.0951079713048249</v>
      </c>
      <c r="K87" s="22">
        <f t="shared" si="39"/>
        <v>0.07653889994672172</v>
      </c>
      <c r="L87" s="22">
        <f t="shared" si="39"/>
        <v>1.1753739412731166</v>
      </c>
      <c r="M87" s="22">
        <f t="shared" si="39"/>
        <v>0.1763066402920843</v>
      </c>
      <c r="N87" s="22">
        <f t="shared" si="39"/>
        <v>0.02615348589909025</v>
      </c>
      <c r="O87" s="22">
        <f t="shared" si="39"/>
        <v>0.07568657434965873</v>
      </c>
      <c r="P87" s="22">
        <f t="shared" si="39"/>
        <v>0.1999593311394007</v>
      </c>
      <c r="Q87" s="22">
        <f t="shared" si="39"/>
        <v>0.16907454222122228</v>
      </c>
      <c r="R87" s="22">
        <f t="shared" si="39"/>
        <v>0.17415599658270342</v>
      </c>
      <c r="S87" s="22">
        <f t="shared" si="39"/>
        <v>0.044328515206877805</v>
      </c>
      <c r="T87" s="22">
        <f t="shared" si="39"/>
        <v>0.06196462747022614</v>
      </c>
      <c r="U87" s="22">
        <f t="shared" si="39"/>
        <v>0.038903199182558856</v>
      </c>
      <c r="V87" s="23">
        <f t="shared" si="39"/>
        <v>0.10994460122262972</v>
      </c>
    </row>
    <row r="88" spans="1:22" ht="15" customHeight="1">
      <c r="A88" s="79">
        <v>1940</v>
      </c>
      <c r="B88" s="72">
        <f t="shared" si="33"/>
        <v>3.0097212643966422</v>
      </c>
      <c r="C88" s="72">
        <f t="shared" si="31"/>
        <v>1.179284190197912</v>
      </c>
      <c r="D88" s="72">
        <f t="shared" si="31"/>
        <v>0.9703743291565321</v>
      </c>
      <c r="E88" s="72">
        <f t="shared" si="31"/>
        <v>0.10184006024874898</v>
      </c>
      <c r="F88" s="72">
        <f t="shared" si="31"/>
        <v>0.7582226847934488</v>
      </c>
      <c r="H88" s="21">
        <f aca="true" t="shared" si="40" ref="H88:V88">H15*H45</f>
        <v>3.0097212643966413</v>
      </c>
      <c r="I88" s="22">
        <f t="shared" si="40"/>
        <v>1.0076373189463654</v>
      </c>
      <c r="J88" s="22">
        <f t="shared" si="40"/>
        <v>0.0951079713048249</v>
      </c>
      <c r="K88" s="22">
        <f t="shared" si="40"/>
        <v>0.07653889994672172</v>
      </c>
      <c r="L88" s="22">
        <f t="shared" si="40"/>
        <v>0.7940676888644478</v>
      </c>
      <c r="M88" s="22">
        <f t="shared" si="40"/>
        <v>0.1763066402920843</v>
      </c>
      <c r="N88" s="22">
        <f t="shared" si="40"/>
        <v>0.02615348589909025</v>
      </c>
      <c r="O88" s="22">
        <f t="shared" si="40"/>
        <v>0.07568657434965873</v>
      </c>
      <c r="P88" s="22">
        <f t="shared" si="40"/>
        <v>0.1999593311394007</v>
      </c>
      <c r="Q88" s="22">
        <f t="shared" si="40"/>
        <v>0.16907454222122228</v>
      </c>
      <c r="R88" s="22">
        <f t="shared" si="40"/>
        <v>0.14512999715225283</v>
      </c>
      <c r="S88" s="22">
        <f t="shared" si="40"/>
        <v>0.033246386405158354</v>
      </c>
      <c r="T88" s="22">
        <f t="shared" si="40"/>
        <v>0.06196462747022614</v>
      </c>
      <c r="U88" s="22">
        <f t="shared" si="40"/>
        <v>0.038903199182558856</v>
      </c>
      <c r="V88" s="23">
        <f t="shared" si="40"/>
        <v>0.10994460122262972</v>
      </c>
    </row>
    <row r="89" spans="1:22" ht="15" customHeight="1">
      <c r="A89" s="79">
        <v>1950</v>
      </c>
      <c r="B89" s="72">
        <f t="shared" si="33"/>
        <v>2.612320277464436</v>
      </c>
      <c r="C89" s="72">
        <f t="shared" si="31"/>
        <v>0.7551425971765495</v>
      </c>
      <c r="D89" s="72">
        <f t="shared" si="31"/>
        <v>1.247723937835385</v>
      </c>
      <c r="E89" s="72">
        <f t="shared" si="31"/>
        <v>0.11573312037761971</v>
      </c>
      <c r="F89" s="72">
        <f t="shared" si="31"/>
        <v>0.49372062207488204</v>
      </c>
      <c r="H89" s="21">
        <f aca="true" t="shared" si="41" ref="H89:V89">H16*H46</f>
        <v>2.6123202774644367</v>
      </c>
      <c r="I89" s="22">
        <f t="shared" si="41"/>
        <v>0.6344434486730854</v>
      </c>
      <c r="J89" s="22">
        <f t="shared" si="41"/>
        <v>0.039414405245960106</v>
      </c>
      <c r="K89" s="22">
        <f t="shared" si="41"/>
        <v>0.08128474325750402</v>
      </c>
      <c r="L89" s="22">
        <f t="shared" si="41"/>
        <v>1.022284346755248</v>
      </c>
      <c r="M89" s="22">
        <f t="shared" si="41"/>
        <v>0.22543959108013711</v>
      </c>
      <c r="N89" s="22">
        <f t="shared" si="41"/>
        <v>0.02779600882835352</v>
      </c>
      <c r="O89" s="22">
        <f t="shared" si="41"/>
        <v>0.0879371115492662</v>
      </c>
      <c r="P89" s="22">
        <f t="shared" si="41"/>
        <v>0.045787124503238096</v>
      </c>
      <c r="Q89" s="22">
        <f t="shared" si="41"/>
        <v>0.12152091161411185</v>
      </c>
      <c r="R89" s="22">
        <f t="shared" si="41"/>
        <v>0.062308000913468546</v>
      </c>
      <c r="S89" s="22">
        <f t="shared" si="41"/>
        <v>0.03761412255067028</v>
      </c>
      <c r="T89" s="22">
        <f t="shared" si="41"/>
        <v>0.07119521437859265</v>
      </c>
      <c r="U89" s="22">
        <f t="shared" si="41"/>
        <v>0.04131541686189705</v>
      </c>
      <c r="V89" s="23">
        <f t="shared" si="41"/>
        <v>0.11397983125290355</v>
      </c>
    </row>
    <row r="90" spans="1:22" ht="15" customHeight="1">
      <c r="A90" s="79">
        <v>1960</v>
      </c>
      <c r="B90" s="72">
        <f t="shared" si="33"/>
        <v>2.7540073873501356</v>
      </c>
      <c r="C90" s="72">
        <f t="shared" si="31"/>
        <v>0.8542285755235627</v>
      </c>
      <c r="D90" s="72">
        <f t="shared" si="31"/>
        <v>1.190962534960153</v>
      </c>
      <c r="E90" s="72">
        <f t="shared" si="31"/>
        <v>0.11269686660381825</v>
      </c>
      <c r="F90" s="72">
        <f t="shared" si="31"/>
        <v>0.5961194102626017</v>
      </c>
      <c r="H90" s="21">
        <f aca="true" t="shared" si="42" ref="H90:V90">H17*H47</f>
        <v>2.7540073873501356</v>
      </c>
      <c r="I90" s="22">
        <f t="shared" si="42"/>
        <v>0.7342143831364073</v>
      </c>
      <c r="J90" s="22">
        <f t="shared" si="42"/>
        <v>0.03920951192025651</v>
      </c>
      <c r="K90" s="22">
        <f t="shared" si="42"/>
        <v>0.08080468046689886</v>
      </c>
      <c r="L90" s="22">
        <f t="shared" si="42"/>
        <v>0.9565965585805886</v>
      </c>
      <c r="M90" s="22">
        <f t="shared" si="42"/>
        <v>0.2343659763795643</v>
      </c>
      <c r="N90" s="22">
        <f t="shared" si="42"/>
        <v>0.02780862675307847</v>
      </c>
      <c r="O90" s="22">
        <f t="shared" si="42"/>
        <v>0.08488823985073977</v>
      </c>
      <c r="P90" s="22">
        <f t="shared" si="42"/>
        <v>0.03944276239192708</v>
      </c>
      <c r="Q90" s="22">
        <f t="shared" si="42"/>
        <v>0.10327744009676959</v>
      </c>
      <c r="R90" s="22">
        <f t="shared" si="42"/>
        <v>0.16242839794007963</v>
      </c>
      <c r="S90" s="22">
        <f t="shared" si="42"/>
        <v>0.03637034743726182</v>
      </c>
      <c r="T90" s="22">
        <f t="shared" si="42"/>
        <v>0.0900912417500977</v>
      </c>
      <c r="U90" s="22">
        <f t="shared" si="42"/>
        <v>0.04942148722754836</v>
      </c>
      <c r="V90" s="23">
        <f t="shared" si="42"/>
        <v>0.11508773341891762</v>
      </c>
    </row>
    <row r="91" spans="1:22" ht="15" customHeight="1">
      <c r="A91" s="79">
        <v>1970</v>
      </c>
      <c r="B91" s="72">
        <f t="shared" si="33"/>
        <v>3.032023700270541</v>
      </c>
      <c r="C91" s="72">
        <f t="shared" si="31"/>
        <v>0.90706142714936</v>
      </c>
      <c r="D91" s="72">
        <f t="shared" si="31"/>
        <v>1.1284706713275503</v>
      </c>
      <c r="E91" s="72">
        <f t="shared" si="31"/>
        <v>0.14621415044002237</v>
      </c>
      <c r="F91" s="72">
        <f t="shared" si="31"/>
        <v>0.8502774513536087</v>
      </c>
      <c r="H91" s="21">
        <f aca="true" t="shared" si="43" ref="H91:V91">H18*H48</f>
        <v>3.0320237002705417</v>
      </c>
      <c r="I91" s="22">
        <f t="shared" si="43"/>
        <v>0.7877321908785133</v>
      </c>
      <c r="J91" s="22">
        <f t="shared" si="43"/>
        <v>0.03900461859455292</v>
      </c>
      <c r="K91" s="22">
        <f t="shared" si="43"/>
        <v>0.08032461767629369</v>
      </c>
      <c r="L91" s="22">
        <f t="shared" si="43"/>
        <v>0.8040808557555617</v>
      </c>
      <c r="M91" s="22">
        <f t="shared" si="43"/>
        <v>0.3243898155719887</v>
      </c>
      <c r="N91" s="22">
        <f t="shared" si="43"/>
        <v>0.0370949929037379</v>
      </c>
      <c r="O91" s="22">
        <f t="shared" si="43"/>
        <v>0.10911915753628447</v>
      </c>
      <c r="P91" s="22">
        <f t="shared" si="43"/>
        <v>0.03309840028061606</v>
      </c>
      <c r="Q91" s="22">
        <f t="shared" si="43"/>
        <v>0.1133786247725698</v>
      </c>
      <c r="R91" s="22">
        <f t="shared" si="43"/>
        <v>0.2867180069892239</v>
      </c>
      <c r="S91" s="22">
        <f t="shared" si="43"/>
        <v>0.04013513624488672</v>
      </c>
      <c r="T91" s="22">
        <f t="shared" si="43"/>
        <v>0.14531635882880362</v>
      </c>
      <c r="U91" s="22">
        <f t="shared" si="43"/>
        <v>0.07670341012426624</v>
      </c>
      <c r="V91" s="23">
        <f t="shared" si="43"/>
        <v>0.15492751411324224</v>
      </c>
    </row>
    <row r="92" spans="1:22" ht="15" customHeight="1">
      <c r="A92" s="79">
        <v>1980</v>
      </c>
      <c r="B92" s="72">
        <f t="shared" si="33"/>
        <v>3.401402209320093</v>
      </c>
      <c r="C92" s="72">
        <f t="shared" si="31"/>
        <v>0.9689810727372344</v>
      </c>
      <c r="D92" s="72">
        <f t="shared" si="31"/>
        <v>1.205890004679719</v>
      </c>
      <c r="E92" s="72">
        <f t="shared" si="31"/>
        <v>0.14512869625320457</v>
      </c>
      <c r="F92" s="72">
        <f t="shared" si="31"/>
        <v>1.081402435649935</v>
      </c>
      <c r="H92" s="21">
        <f aca="true" t="shared" si="44" ref="H92:V92">H19*H49</f>
        <v>3.401402209320093</v>
      </c>
      <c r="I92" s="22">
        <f t="shared" si="44"/>
        <v>0.8631385060686793</v>
      </c>
      <c r="J92" s="22">
        <f t="shared" si="44"/>
        <v>0.03525647750998072</v>
      </c>
      <c r="K92" s="22">
        <f t="shared" si="44"/>
        <v>0.07058608915857431</v>
      </c>
      <c r="L92" s="22">
        <f t="shared" si="44"/>
        <v>0.8735814377608123</v>
      </c>
      <c r="M92" s="22">
        <f t="shared" si="44"/>
        <v>0.33230856691890676</v>
      </c>
      <c r="N92" s="22">
        <f t="shared" si="44"/>
        <v>0.043778908221146606</v>
      </c>
      <c r="O92" s="22">
        <f t="shared" si="44"/>
        <v>0.10134978803205796</v>
      </c>
      <c r="P92" s="22">
        <f t="shared" si="44"/>
        <v>0.03425996915130426</v>
      </c>
      <c r="Q92" s="22">
        <f t="shared" si="44"/>
        <v>0.11662739646840352</v>
      </c>
      <c r="R92" s="22">
        <f t="shared" si="44"/>
        <v>0.4523872359392697</v>
      </c>
      <c r="S92" s="22">
        <f t="shared" si="44"/>
        <v>0.040762976633752224</v>
      </c>
      <c r="T92" s="22">
        <f t="shared" si="44"/>
        <v>0.1577730313066074</v>
      </c>
      <c r="U92" s="22">
        <f t="shared" si="44"/>
        <v>0.06844088103118227</v>
      </c>
      <c r="V92" s="23">
        <f t="shared" si="44"/>
        <v>0.2111509451194157</v>
      </c>
    </row>
    <row r="93" spans="1:22" ht="15" customHeight="1">
      <c r="A93" s="79">
        <v>1990</v>
      </c>
      <c r="B93" s="72">
        <f t="shared" si="33"/>
        <v>3.934174381055243</v>
      </c>
      <c r="C93" s="72">
        <f t="shared" si="31"/>
        <v>1.1710215347155055</v>
      </c>
      <c r="D93" s="72">
        <f t="shared" si="31"/>
        <v>1.3094718045116858</v>
      </c>
      <c r="E93" s="72">
        <f t="shared" si="31"/>
        <v>0.1440432420663868</v>
      </c>
      <c r="F93" s="72">
        <f t="shared" si="31"/>
        <v>1.3096377997616648</v>
      </c>
      <c r="H93" s="21">
        <f aca="true" t="shared" si="45" ref="H93:V93">H20*H50</f>
        <v>3.9341743810552425</v>
      </c>
      <c r="I93" s="22">
        <f t="shared" si="45"/>
        <v>0.9863097405829786</v>
      </c>
      <c r="J93" s="22">
        <f t="shared" si="45"/>
        <v>0.06301667285081705</v>
      </c>
      <c r="K93" s="22">
        <f t="shared" si="45"/>
        <v>0.12169512128170984</v>
      </c>
      <c r="L93" s="22">
        <f t="shared" si="45"/>
        <v>0.9692444862458609</v>
      </c>
      <c r="M93" s="22">
        <f t="shared" si="45"/>
        <v>0.34022731826582486</v>
      </c>
      <c r="N93" s="22">
        <f t="shared" si="45"/>
        <v>0.050462823538555315</v>
      </c>
      <c r="O93" s="22">
        <f t="shared" si="45"/>
        <v>0.09358041852783147</v>
      </c>
      <c r="P93" s="22">
        <f t="shared" si="45"/>
        <v>0.07084307604398492</v>
      </c>
      <c r="Q93" s="22">
        <f t="shared" si="45"/>
        <v>0.11987616816423724</v>
      </c>
      <c r="R93" s="22">
        <f t="shared" si="45"/>
        <v>0.5741495998747029</v>
      </c>
      <c r="S93" s="22">
        <f t="shared" si="45"/>
        <v>0.04698652383064115</v>
      </c>
      <c r="T93" s="22">
        <f t="shared" si="45"/>
        <v>0.17022970378441116</v>
      </c>
      <c r="U93" s="22">
        <f t="shared" si="45"/>
        <v>0.060178351938098305</v>
      </c>
      <c r="V93" s="23">
        <f t="shared" si="45"/>
        <v>0.2673743761255892</v>
      </c>
    </row>
    <row r="94" spans="1:22" ht="15" customHeight="1">
      <c r="A94" s="79">
        <v>2000</v>
      </c>
      <c r="B94" s="72">
        <f t="shared" si="33"/>
        <v>4.269879558546112</v>
      </c>
      <c r="C94" s="72">
        <f t="shared" si="31"/>
        <v>1.2831864367565644</v>
      </c>
      <c r="D94" s="72">
        <f t="shared" si="31"/>
        <v>1.3458940635211118</v>
      </c>
      <c r="E94" s="72">
        <f t="shared" si="31"/>
        <v>0.15126146020606948</v>
      </c>
      <c r="F94" s="72">
        <f t="shared" si="31"/>
        <v>1.489537598062366</v>
      </c>
      <c r="H94" s="21">
        <f aca="true" t="shared" si="46" ref="H94:V94">H21*H51</f>
        <v>4.269879558546112</v>
      </c>
      <c r="I94" s="22">
        <f t="shared" si="46"/>
        <v>1.0372719359209142</v>
      </c>
      <c r="J94" s="22">
        <f t="shared" si="46"/>
        <v>0.08965909335566133</v>
      </c>
      <c r="K94" s="22">
        <f t="shared" si="46"/>
        <v>0.15625540747998898</v>
      </c>
      <c r="L94" s="22">
        <f t="shared" si="46"/>
        <v>0.9989064548570155</v>
      </c>
      <c r="M94" s="22">
        <f t="shared" si="46"/>
        <v>0.3469876086640965</v>
      </c>
      <c r="N94" s="22">
        <f t="shared" si="46"/>
        <v>0.052782322727044806</v>
      </c>
      <c r="O94" s="22">
        <f t="shared" si="46"/>
        <v>0.09847913747902468</v>
      </c>
      <c r="P94" s="22">
        <f t="shared" si="46"/>
        <v>0.2720271024285288</v>
      </c>
      <c r="Q94" s="22">
        <f t="shared" si="46"/>
        <v>0.17309825252856118</v>
      </c>
      <c r="R94" s="22">
        <f t="shared" si="46"/>
        <v>0.42923267578768154</v>
      </c>
      <c r="S94" s="22">
        <f t="shared" si="46"/>
        <v>0.05717794405847514</v>
      </c>
      <c r="T94" s="22">
        <f t="shared" si="46"/>
        <v>0.19810045467693782</v>
      </c>
      <c r="U94" s="22">
        <f t="shared" si="46"/>
        <v>0.044240991271519446</v>
      </c>
      <c r="V94" s="23">
        <f t="shared" si="46"/>
        <v>0.31566017731066204</v>
      </c>
    </row>
    <row r="95" spans="1:22" ht="15" customHeight="1">
      <c r="A95" s="79">
        <v>2010</v>
      </c>
      <c r="B95" s="72">
        <f t="shared" si="33"/>
        <v>4.398796337405904</v>
      </c>
      <c r="C95" s="72">
        <f t="shared" si="31"/>
        <v>1.2580028380377057</v>
      </c>
      <c r="D95" s="72">
        <f t="shared" si="31"/>
        <v>1.1748859539655188</v>
      </c>
      <c r="E95" s="72">
        <f t="shared" si="31"/>
        <v>0.1584796783457522</v>
      </c>
      <c r="F95" s="72">
        <f t="shared" si="31"/>
        <v>1.8074278670569273</v>
      </c>
      <c r="H95" s="21">
        <f aca="true" t="shared" si="47" ref="H95:V95">H22*H52</f>
        <v>4.398796337405904</v>
      </c>
      <c r="I95" s="22">
        <f t="shared" si="47"/>
        <v>0.9716544240743589</v>
      </c>
      <c r="J95" s="22">
        <f t="shared" si="47"/>
        <v>0.11305756991346276</v>
      </c>
      <c r="K95" s="22">
        <f t="shared" si="47"/>
        <v>0.17329084404988426</v>
      </c>
      <c r="L95" s="22">
        <f t="shared" si="47"/>
        <v>0.8211380549031506</v>
      </c>
      <c r="M95" s="22">
        <f t="shared" si="47"/>
        <v>0.3537478990623681</v>
      </c>
      <c r="N95" s="22">
        <f t="shared" si="47"/>
        <v>0.055101821915534296</v>
      </c>
      <c r="O95" s="22">
        <f t="shared" si="47"/>
        <v>0.1033778564302179</v>
      </c>
      <c r="P95" s="22">
        <f t="shared" si="47"/>
        <v>0.5837194543881069</v>
      </c>
      <c r="Q95" s="22">
        <f t="shared" si="47"/>
        <v>0.2263203368928851</v>
      </c>
      <c r="R95" s="22">
        <f t="shared" si="47"/>
        <v>0.32041661890074963</v>
      </c>
      <c r="S95" s="22">
        <f t="shared" si="47"/>
        <v>0.05875064220504566</v>
      </c>
      <c r="T95" s="22">
        <f t="shared" si="47"/>
        <v>0.2259712055694645</v>
      </c>
      <c r="U95" s="22">
        <f t="shared" si="47"/>
        <v>0.028303630604940583</v>
      </c>
      <c r="V95" s="23">
        <f t="shared" si="47"/>
        <v>0.3639459784957349</v>
      </c>
    </row>
    <row r="96" spans="1:22" ht="15" customHeight="1">
      <c r="A96" s="79">
        <v>2020</v>
      </c>
      <c r="B96" s="72">
        <f t="shared" si="33"/>
        <v>4.496258851418123</v>
      </c>
      <c r="C96" s="72">
        <f t="shared" si="31"/>
        <v>1.0729004659793642</v>
      </c>
      <c r="D96" s="72">
        <f t="shared" si="31"/>
        <v>1.1297523576830009</v>
      </c>
      <c r="E96" s="72">
        <f t="shared" si="31"/>
        <v>0.19378165826321408</v>
      </c>
      <c r="F96" s="72">
        <f t="shared" si="31"/>
        <v>2.099824369492543</v>
      </c>
      <c r="H96" s="21">
        <f aca="true" t="shared" si="48" ref="H96:V96">H23*H53</f>
        <v>4.496258851418122</v>
      </c>
      <c r="I96" s="22">
        <f t="shared" si="48"/>
        <v>0.8148871056006147</v>
      </c>
      <c r="J96" s="22">
        <f t="shared" si="48"/>
        <v>0.10198185326393318</v>
      </c>
      <c r="K96" s="22">
        <f t="shared" si="48"/>
        <v>0.15603150711481628</v>
      </c>
      <c r="L96" s="22">
        <f t="shared" si="48"/>
        <v>0.7304108642726501</v>
      </c>
      <c r="M96" s="22">
        <f t="shared" si="48"/>
        <v>0.39934149341035086</v>
      </c>
      <c r="N96" s="22">
        <f t="shared" si="48"/>
        <v>0.06572226613625785</v>
      </c>
      <c r="O96" s="22">
        <f t="shared" si="48"/>
        <v>0.12805939212695622</v>
      </c>
      <c r="P96" s="22">
        <f t="shared" si="48"/>
        <v>0.8140411255684954</v>
      </c>
      <c r="Q96" s="22">
        <f t="shared" si="48"/>
        <v>0.2696203068484591</v>
      </c>
      <c r="R96" s="22">
        <f t="shared" si="48"/>
        <v>0.2636795691150714</v>
      </c>
      <c r="S96" s="22">
        <f t="shared" si="48"/>
        <v>0.050013757217878874</v>
      </c>
      <c r="T96" s="22">
        <f t="shared" si="48"/>
        <v>0.25834419893475086</v>
      </c>
      <c r="U96" s="22">
        <f t="shared" si="48"/>
        <v>0.0319469505528373</v>
      </c>
      <c r="V96" s="23">
        <f t="shared" si="48"/>
        <v>0.41217846125505037</v>
      </c>
    </row>
    <row r="97" spans="1:22" ht="15" customHeight="1">
      <c r="A97" s="79">
        <v>2030</v>
      </c>
      <c r="B97" s="72">
        <f t="shared" si="33"/>
        <v>5.018713448396677</v>
      </c>
      <c r="C97" s="72">
        <f t="shared" si="31"/>
        <v>0.9995619682369565</v>
      </c>
      <c r="D97" s="72">
        <f t="shared" si="31"/>
        <v>1.174500535284078</v>
      </c>
      <c r="E97" s="72">
        <f t="shared" si="31"/>
        <v>0.2632051767534733</v>
      </c>
      <c r="F97" s="72">
        <f t="shared" si="31"/>
        <v>2.581445768122169</v>
      </c>
      <c r="H97" s="21">
        <f aca="true" t="shared" si="49" ref="H97:V97">H24*H54</f>
        <v>5.018713448396679</v>
      </c>
      <c r="I97" s="22">
        <f t="shared" si="49"/>
        <v>0.7447913292840989</v>
      </c>
      <c r="J97" s="22">
        <f t="shared" si="49"/>
        <v>0.10098465564401429</v>
      </c>
      <c r="K97" s="22">
        <f t="shared" si="49"/>
        <v>0.1537859833088434</v>
      </c>
      <c r="L97" s="22">
        <f t="shared" si="49"/>
        <v>0.7043746212190083</v>
      </c>
      <c r="M97" s="22">
        <f t="shared" si="49"/>
        <v>0.4701259140650698</v>
      </c>
      <c r="N97" s="22">
        <f t="shared" si="49"/>
        <v>0.08566783935017669</v>
      </c>
      <c r="O97" s="22">
        <f t="shared" si="49"/>
        <v>0.1775373374032966</v>
      </c>
      <c r="P97" s="22">
        <f t="shared" si="49"/>
        <v>1.1102615948757442</v>
      </c>
      <c r="Q97" s="22">
        <f t="shared" si="49"/>
        <v>0.35072795087349573</v>
      </c>
      <c r="R97" s="22">
        <f t="shared" si="49"/>
        <v>0.23586588292476443</v>
      </c>
      <c r="S97" s="22">
        <f t="shared" si="49"/>
        <v>0.04683533279669555</v>
      </c>
      <c r="T97" s="22">
        <f t="shared" si="49"/>
        <v>0.31179515077816555</v>
      </c>
      <c r="U97" s="22">
        <f t="shared" si="49"/>
        <v>0.03759865787453046</v>
      </c>
      <c r="V97" s="23">
        <f t="shared" si="49"/>
        <v>0.4883611979987734</v>
      </c>
    </row>
    <row r="98" spans="1:22" ht="15" customHeight="1">
      <c r="A98" s="79">
        <v>2040</v>
      </c>
      <c r="B98" s="72">
        <f t="shared" si="33"/>
        <v>5.133097636879297</v>
      </c>
      <c r="C98" s="72">
        <f t="shared" si="31"/>
        <v>0.8541827059444749</v>
      </c>
      <c r="D98" s="72">
        <f t="shared" si="31"/>
        <v>1.1115362165255138</v>
      </c>
      <c r="E98" s="72">
        <f t="shared" si="31"/>
        <v>0.3311030528119564</v>
      </c>
      <c r="F98" s="72">
        <f t="shared" si="31"/>
        <v>2.8362756615973526</v>
      </c>
      <c r="H98" s="21">
        <f aca="true" t="shared" si="50" ref="H98:V98">H25*H55</f>
        <v>5.133097636879297</v>
      </c>
      <c r="I98" s="22">
        <f t="shared" si="50"/>
        <v>0.6233695301038821</v>
      </c>
      <c r="J98" s="22">
        <f t="shared" si="50"/>
        <v>0.09180695675092078</v>
      </c>
      <c r="K98" s="22">
        <f t="shared" si="50"/>
        <v>0.1390062190896721</v>
      </c>
      <c r="L98" s="22">
        <f t="shared" si="50"/>
        <v>0.6202903554668221</v>
      </c>
      <c r="M98" s="22">
        <f t="shared" si="50"/>
        <v>0.49124586105869167</v>
      </c>
      <c r="N98" s="22">
        <f t="shared" si="50"/>
        <v>0.10125675823524287</v>
      </c>
      <c r="O98" s="22">
        <f t="shared" si="50"/>
        <v>0.22984629457671354</v>
      </c>
      <c r="P98" s="22">
        <f t="shared" si="50"/>
        <v>1.298925883978713</v>
      </c>
      <c r="Q98" s="22">
        <f t="shared" si="50"/>
        <v>0.4138352888783329</v>
      </c>
      <c r="R98" s="22">
        <f t="shared" si="50"/>
        <v>0.19263521805189704</v>
      </c>
      <c r="S98" s="22">
        <f t="shared" si="50"/>
        <v>0.040418412978062125</v>
      </c>
      <c r="T98" s="22">
        <f t="shared" si="50"/>
        <v>0.33665252902548043</v>
      </c>
      <c r="U98" s="22">
        <f t="shared" si="50"/>
        <v>0.03932424364989399</v>
      </c>
      <c r="V98" s="23">
        <f t="shared" si="50"/>
        <v>0.514484085034973</v>
      </c>
    </row>
    <row r="99" spans="1:22" ht="15" customHeight="1">
      <c r="A99" s="79">
        <v>2050</v>
      </c>
      <c r="B99" s="72">
        <f t="shared" si="33"/>
        <v>5.571267210819927</v>
      </c>
      <c r="C99" s="72">
        <f t="shared" si="31"/>
        <v>0.792501409315736</v>
      </c>
      <c r="D99" s="72">
        <f t="shared" si="31"/>
        <v>1.1329519282609692</v>
      </c>
      <c r="E99" s="72">
        <f t="shared" si="31"/>
        <v>0.4450328194648143</v>
      </c>
      <c r="F99" s="72">
        <f t="shared" si="31"/>
        <v>3.2007810537784067</v>
      </c>
      <c r="H99" s="21">
        <f aca="true" t="shared" si="51" ref="H99:V99">H26*H56</f>
        <v>5.571267210819926</v>
      </c>
      <c r="I99" s="22">
        <f t="shared" si="51"/>
        <v>0.5661999271230472</v>
      </c>
      <c r="J99" s="22">
        <f t="shared" si="51"/>
        <v>0.09031065621592023</v>
      </c>
      <c r="K99" s="22">
        <f t="shared" si="51"/>
        <v>0.1359908259767684</v>
      </c>
      <c r="L99" s="22">
        <f t="shared" si="51"/>
        <v>0.591392777619181</v>
      </c>
      <c r="M99" s="22">
        <f t="shared" si="51"/>
        <v>0.5415591506417882</v>
      </c>
      <c r="N99" s="22">
        <f t="shared" si="51"/>
        <v>0.12683015076714518</v>
      </c>
      <c r="O99" s="22">
        <f t="shared" si="51"/>
        <v>0.31820266869766917</v>
      </c>
      <c r="P99" s="22">
        <f t="shared" si="51"/>
        <v>1.4737936783227403</v>
      </c>
      <c r="Q99" s="22">
        <f t="shared" si="51"/>
        <v>0.5177688618854956</v>
      </c>
      <c r="R99" s="22">
        <f t="shared" si="51"/>
        <v>0.17027975027885428</v>
      </c>
      <c r="S99" s="22">
        <f t="shared" si="51"/>
        <v>0.037959821272641144</v>
      </c>
      <c r="T99" s="22">
        <f t="shared" si="51"/>
        <v>0.38519627490876895</v>
      </c>
      <c r="U99" s="22">
        <f t="shared" si="51"/>
        <v>0.04345899037765081</v>
      </c>
      <c r="V99" s="23">
        <f t="shared" si="51"/>
        <v>0.5723236767322555</v>
      </c>
    </row>
    <row r="100" spans="1:22" ht="15" customHeight="1">
      <c r="A100" s="79">
        <v>2060</v>
      </c>
      <c r="B100" s="72">
        <f t="shared" si="33"/>
        <v>6.045608499893447</v>
      </c>
      <c r="C100" s="72">
        <f t="shared" si="31"/>
        <v>0.7779170506834671</v>
      </c>
      <c r="D100" s="72">
        <f t="shared" si="31"/>
        <v>1.2129815550807</v>
      </c>
      <c r="E100" s="72">
        <f t="shared" si="31"/>
        <v>0.5989046676239773</v>
      </c>
      <c r="F100" s="72">
        <f t="shared" si="31"/>
        <v>3.4558052265053036</v>
      </c>
      <c r="H100" s="21">
        <f aca="true" t="shared" si="52" ref="H100:V100">H27*H57</f>
        <v>6.045608499893448</v>
      </c>
      <c r="I100" s="22">
        <f t="shared" si="52"/>
        <v>0.5457031245040063</v>
      </c>
      <c r="J100" s="22">
        <f t="shared" si="52"/>
        <v>0.09290793336652944</v>
      </c>
      <c r="K100" s="22">
        <f t="shared" si="52"/>
        <v>0.1393059928129313</v>
      </c>
      <c r="L100" s="22">
        <f t="shared" si="52"/>
        <v>0.5972714169264997</v>
      </c>
      <c r="M100" s="22">
        <f t="shared" si="52"/>
        <v>0.6157101381542003</v>
      </c>
      <c r="N100" s="22">
        <f t="shared" si="52"/>
        <v>0.15883337324794186</v>
      </c>
      <c r="O100" s="22">
        <f t="shared" si="52"/>
        <v>0.4400712943760354</v>
      </c>
      <c r="P100" s="22">
        <f t="shared" si="52"/>
        <v>1.5042192302676962</v>
      </c>
      <c r="Q100" s="22">
        <f t="shared" si="52"/>
        <v>0.5933869645351706</v>
      </c>
      <c r="R100" s="22">
        <f t="shared" si="52"/>
        <v>0.15947731844458318</v>
      </c>
      <c r="S100" s="22">
        <f t="shared" si="52"/>
        <v>0.03787942162092932</v>
      </c>
      <c r="T100" s="22">
        <f t="shared" si="52"/>
        <v>0.4549733149265151</v>
      </c>
      <c r="U100" s="22">
        <f t="shared" si="52"/>
        <v>0.049595371755340366</v>
      </c>
      <c r="V100" s="23">
        <f t="shared" si="52"/>
        <v>0.6562736049550688</v>
      </c>
    </row>
    <row r="101" spans="1:22" ht="15" customHeight="1">
      <c r="A101" s="79">
        <v>2070</v>
      </c>
      <c r="B101" s="72">
        <f t="shared" si="33"/>
        <v>6.141979648052615</v>
      </c>
      <c r="C101" s="72">
        <f t="shared" si="31"/>
        <v>0.7780236799639052</v>
      </c>
      <c r="D101" s="72">
        <f t="shared" si="31"/>
        <v>1.229277675732913</v>
      </c>
      <c r="E101" s="72">
        <f t="shared" si="31"/>
        <v>0.6968072419662802</v>
      </c>
      <c r="F101" s="72">
        <f t="shared" si="31"/>
        <v>3.4378710503895173</v>
      </c>
      <c r="H101" s="21">
        <f aca="true" t="shared" si="53" ref="H101:V101">H28*H58</f>
        <v>6.141979648052615</v>
      </c>
      <c r="I101" s="22">
        <f t="shared" si="53"/>
        <v>0.5387479138589564</v>
      </c>
      <c r="J101" s="22">
        <f t="shared" si="53"/>
        <v>0.09588442404230557</v>
      </c>
      <c r="K101" s="22">
        <f t="shared" si="53"/>
        <v>0.14339134206264328</v>
      </c>
      <c r="L101" s="22">
        <f t="shared" si="53"/>
        <v>0.6171551328788583</v>
      </c>
      <c r="M101" s="22">
        <f t="shared" si="53"/>
        <v>0.6121225428540548</v>
      </c>
      <c r="N101" s="22">
        <f t="shared" si="53"/>
        <v>0.1636432127805217</v>
      </c>
      <c r="O101" s="22">
        <f t="shared" si="53"/>
        <v>0.5331640291857584</v>
      </c>
      <c r="P101" s="22">
        <f t="shared" si="53"/>
        <v>1.4583749837684328</v>
      </c>
      <c r="Q101" s="22">
        <f t="shared" si="53"/>
        <v>0.6210169328087537</v>
      </c>
      <c r="R101" s="22">
        <f t="shared" si="53"/>
        <v>0.15293357035423438</v>
      </c>
      <c r="S101" s="22">
        <f t="shared" si="53"/>
        <v>0.03871843950479575</v>
      </c>
      <c r="T101" s="22">
        <f t="shared" si="53"/>
        <v>0.4621212678272589</v>
      </c>
      <c r="U101" s="22">
        <f t="shared" si="53"/>
        <v>0.049439504017978496</v>
      </c>
      <c r="V101" s="23">
        <f t="shared" si="53"/>
        <v>0.6552663521080632</v>
      </c>
    </row>
    <row r="102" spans="1:22" ht="15" customHeight="1">
      <c r="A102" s="79">
        <v>2080</v>
      </c>
      <c r="B102" s="72">
        <f t="shared" si="33"/>
        <v>6.2667112552780715</v>
      </c>
      <c r="C102" s="72">
        <f t="shared" si="31"/>
        <v>0.7772958673476548</v>
      </c>
      <c r="D102" s="72">
        <f t="shared" si="31"/>
        <v>1.2507069753515814</v>
      </c>
      <c r="E102" s="72">
        <f t="shared" si="31"/>
        <v>0.8065952724934218</v>
      </c>
      <c r="F102" s="72">
        <f t="shared" si="31"/>
        <v>3.4321131400854132</v>
      </c>
      <c r="H102" s="21">
        <f aca="true" t="shared" si="54" ref="H102:V102">H29*H59</f>
        <v>6.266711255278071</v>
      </c>
      <c r="I102" s="22">
        <f t="shared" si="54"/>
        <v>0.5332913608559559</v>
      </c>
      <c r="J102" s="22">
        <f t="shared" si="54"/>
        <v>0.09784238961163985</v>
      </c>
      <c r="K102" s="22">
        <f t="shared" si="54"/>
        <v>0.1461621168800591</v>
      </c>
      <c r="L102" s="22">
        <f t="shared" si="54"/>
        <v>0.6378489985650619</v>
      </c>
      <c r="M102" s="22">
        <f t="shared" si="54"/>
        <v>0.6128579767865194</v>
      </c>
      <c r="N102" s="22">
        <f t="shared" si="54"/>
        <v>0.16891448590706185</v>
      </c>
      <c r="O102" s="22">
        <f t="shared" si="54"/>
        <v>0.63768078658636</v>
      </c>
      <c r="P102" s="22">
        <f t="shared" si="54"/>
        <v>1.4135562580017553</v>
      </c>
      <c r="Q102" s="22">
        <f t="shared" si="54"/>
        <v>0.6487606204931124</v>
      </c>
      <c r="R102" s="22">
        <f t="shared" si="54"/>
        <v>0.14704378415601757</v>
      </c>
      <c r="S102" s="22">
        <f t="shared" si="54"/>
        <v>0.039622545558703405</v>
      </c>
      <c r="T102" s="22">
        <f t="shared" si="54"/>
        <v>0.4744366708000744</v>
      </c>
      <c r="U102" s="22">
        <f t="shared" si="54"/>
        <v>0.04970600139498842</v>
      </c>
      <c r="V102" s="23">
        <f t="shared" si="54"/>
        <v>0.6589872596807612</v>
      </c>
    </row>
    <row r="103" spans="1:22" ht="15" customHeight="1">
      <c r="A103" s="79">
        <v>2090</v>
      </c>
      <c r="B103" s="72">
        <f t="shared" si="33"/>
        <v>6.43159760470359</v>
      </c>
      <c r="C103" s="72">
        <f t="shared" si="31"/>
        <v>0.7891239372961086</v>
      </c>
      <c r="D103" s="72">
        <f t="shared" si="31"/>
        <v>1.2931804118013757</v>
      </c>
      <c r="E103" s="72">
        <f t="shared" si="31"/>
        <v>0.869754629315382</v>
      </c>
      <c r="F103" s="72">
        <f t="shared" si="31"/>
        <v>3.4795386262907244</v>
      </c>
      <c r="H103" s="21">
        <f aca="true" t="shared" si="55" ref="H103:V103">H30*H60</f>
        <v>6.43159760470359</v>
      </c>
      <c r="I103" s="22">
        <f t="shared" si="55"/>
        <v>0.5377690476233293</v>
      </c>
      <c r="J103" s="22">
        <f t="shared" si="55"/>
        <v>0.1007625646084148</v>
      </c>
      <c r="K103" s="22">
        <f t="shared" si="55"/>
        <v>0.1505923250643645</v>
      </c>
      <c r="L103" s="22">
        <f t="shared" si="55"/>
        <v>0.6692001713462348</v>
      </c>
      <c r="M103" s="22">
        <f t="shared" si="55"/>
        <v>0.623980240455141</v>
      </c>
      <c r="N103" s="22">
        <f t="shared" si="55"/>
        <v>0.17636588499960057</v>
      </c>
      <c r="O103" s="22">
        <f t="shared" si="55"/>
        <v>0.6933887443157815</v>
      </c>
      <c r="P103" s="22">
        <f t="shared" si="55"/>
        <v>1.390046579120305</v>
      </c>
      <c r="Q103" s="22">
        <f t="shared" si="55"/>
        <v>0.6830582794086395</v>
      </c>
      <c r="R103" s="22">
        <f t="shared" si="55"/>
        <v>0.14411029440930304</v>
      </c>
      <c r="S103" s="22">
        <f t="shared" si="55"/>
        <v>0.0411939149485507</v>
      </c>
      <c r="T103" s="22">
        <f t="shared" si="55"/>
        <v>0.49643128949161847</v>
      </c>
      <c r="U103" s="22">
        <f t="shared" si="55"/>
        <v>0.050904772419440684</v>
      </c>
      <c r="V103" s="23">
        <f t="shared" si="55"/>
        <v>0.6737934964928671</v>
      </c>
    </row>
    <row r="104" spans="1:22" ht="15" customHeight="1" thickBot="1">
      <c r="A104" s="80">
        <v>2100</v>
      </c>
      <c r="B104" s="73">
        <f t="shared" si="33"/>
        <v>6.670113112273265</v>
      </c>
      <c r="C104" s="73">
        <f t="shared" si="31"/>
        <v>0.808882796796241</v>
      </c>
      <c r="D104" s="73">
        <f t="shared" si="31"/>
        <v>1.3498828339825253</v>
      </c>
      <c r="E104" s="73">
        <f t="shared" si="31"/>
        <v>0.9514887011110946</v>
      </c>
      <c r="F104" s="73">
        <f t="shared" si="31"/>
        <v>3.5598587803834043</v>
      </c>
      <c r="H104" s="24">
        <f aca="true" t="shared" si="56" ref="H104:V104">H31*H61</f>
        <v>6.670113112273265</v>
      </c>
      <c r="I104" s="25">
        <f t="shared" si="56"/>
        <v>0.5487285106819412</v>
      </c>
      <c r="J104" s="25">
        <f t="shared" si="56"/>
        <v>0.104185062084759</v>
      </c>
      <c r="K104" s="25">
        <f t="shared" si="56"/>
        <v>0.15596922402954086</v>
      </c>
      <c r="L104" s="25">
        <f t="shared" si="56"/>
        <v>0.7080451505131616</v>
      </c>
      <c r="M104" s="25">
        <f t="shared" si="56"/>
        <v>0.6418376834693635</v>
      </c>
      <c r="N104" s="25">
        <f t="shared" si="56"/>
        <v>0.18521364129438464</v>
      </c>
      <c r="O104" s="25">
        <f t="shared" si="56"/>
        <v>0.7662750598167098</v>
      </c>
      <c r="P104" s="25">
        <f t="shared" si="56"/>
        <v>1.3782196862958445</v>
      </c>
      <c r="Q104" s="25">
        <f t="shared" si="56"/>
        <v>0.7213053502820141</v>
      </c>
      <c r="R104" s="25">
        <f t="shared" si="56"/>
        <v>0.14302368514796843</v>
      </c>
      <c r="S104" s="25">
        <f t="shared" si="56"/>
        <v>0.043223624705047696</v>
      </c>
      <c r="T104" s="25">
        <f t="shared" si="56"/>
        <v>0.5254908361364954</v>
      </c>
      <c r="U104" s="25">
        <f t="shared" si="56"/>
        <v>0.05273764496037509</v>
      </c>
      <c r="V104" s="26">
        <f t="shared" si="56"/>
        <v>0.6958579528556589</v>
      </c>
    </row>
    <row r="105" ht="15" customHeight="1" thickTop="1"/>
    <row r="107" ht="15" customHeight="1" thickBot="1"/>
    <row r="108" spans="1:8" ht="15" customHeight="1" thickBot="1" thickTop="1">
      <c r="A108" s="170"/>
      <c r="B108" s="171"/>
      <c r="C108" s="171"/>
      <c r="D108" s="171"/>
      <c r="E108" s="15"/>
      <c r="F108" s="15"/>
      <c r="G108" s="15"/>
      <c r="H108" s="15"/>
    </row>
    <row r="109" spans="1:9" ht="15" customHeight="1" thickTop="1">
      <c r="A109" s="16"/>
      <c r="B109" s="168" t="s">
        <v>115</v>
      </c>
      <c r="C109" s="169"/>
      <c r="D109" s="168" t="s">
        <v>116</v>
      </c>
      <c r="E109" s="169"/>
      <c r="F109" s="168" t="s">
        <v>117</v>
      </c>
      <c r="G109" s="169"/>
      <c r="H109" s="168" t="s">
        <v>118</v>
      </c>
      <c r="I109" s="169"/>
    </row>
    <row r="110" spans="1:9" ht="15" customHeight="1">
      <c r="A110" s="17"/>
      <c r="B110" s="18" t="s">
        <v>18</v>
      </c>
      <c r="C110" s="19" t="s">
        <v>0</v>
      </c>
      <c r="D110" s="18" t="s">
        <v>18</v>
      </c>
      <c r="E110" s="19" t="s">
        <v>0</v>
      </c>
      <c r="F110" s="18" t="s">
        <v>18</v>
      </c>
      <c r="G110" s="19" t="s">
        <v>0</v>
      </c>
      <c r="H110" s="18" t="s">
        <v>18</v>
      </c>
      <c r="I110" s="19" t="s">
        <v>0</v>
      </c>
    </row>
    <row r="111" spans="1:9" ht="15" customHeight="1">
      <c r="A111" s="20">
        <v>1870</v>
      </c>
      <c r="B111" s="21">
        <v>4.458517732622884</v>
      </c>
      <c r="C111" s="29">
        <v>6.797734842776788</v>
      </c>
      <c r="D111" s="21">
        <v>4.427234738660541</v>
      </c>
      <c r="E111" s="23">
        <v>7.005795149026255</v>
      </c>
      <c r="F111" s="21">
        <f>D111-B111</f>
        <v>-0.03128299396234269</v>
      </c>
      <c r="G111" s="21">
        <f aca="true" t="shared" si="57" ref="G111:G125">E111-C111</f>
        <v>0.20806030624946725</v>
      </c>
      <c r="H111" s="21">
        <f>F111/D111</f>
        <v>-0.007066034626347224</v>
      </c>
      <c r="I111" s="21">
        <f aca="true" t="shared" si="58" ref="I111:I125">G111/E111</f>
        <v>0.029698314298896654</v>
      </c>
    </row>
    <row r="112" spans="1:9" ht="15" customHeight="1">
      <c r="A112" s="20">
        <f aca="true" t="shared" si="59" ref="A112:A125">A111+10</f>
        <v>1880</v>
      </c>
      <c r="B112" s="21">
        <v>4.368345328127856</v>
      </c>
      <c r="C112" s="29">
        <v>6.713141020250169</v>
      </c>
      <c r="D112" s="21">
        <v>4.518448769418719</v>
      </c>
      <c r="E112" s="23">
        <v>6.880127169114012</v>
      </c>
      <c r="F112" s="21">
        <f aca="true" t="shared" si="60" ref="F112:F125">D112-B112</f>
        <v>0.15010344129086306</v>
      </c>
      <c r="G112" s="23">
        <f t="shared" si="57"/>
        <v>0.16698614886384266</v>
      </c>
      <c r="H112" s="21">
        <f aca="true" t="shared" si="61" ref="H112:H125">F112/D112</f>
        <v>0.03322012685122759</v>
      </c>
      <c r="I112" s="21">
        <f t="shared" si="58"/>
        <v>0.024270793948906952</v>
      </c>
    </row>
    <row r="113" spans="1:9" ht="15" customHeight="1">
      <c r="A113" s="20">
        <f t="shared" si="59"/>
        <v>1890</v>
      </c>
      <c r="B113" s="21">
        <v>4.775812428872445</v>
      </c>
      <c r="C113" s="29">
        <v>6.426467474838301</v>
      </c>
      <c r="D113" s="21">
        <v>5.0521643664216</v>
      </c>
      <c r="E113" s="23">
        <v>6.6546284172017325</v>
      </c>
      <c r="F113" s="21">
        <f t="shared" si="60"/>
        <v>0.27635193754915477</v>
      </c>
      <c r="G113" s="23">
        <f t="shared" si="57"/>
        <v>0.22816094236343165</v>
      </c>
      <c r="H113" s="21">
        <f t="shared" si="61"/>
        <v>0.05469971234227524</v>
      </c>
      <c r="I113" s="21">
        <f t="shared" si="58"/>
        <v>0.03428605296332582</v>
      </c>
    </row>
    <row r="114" spans="1:9" ht="15" customHeight="1">
      <c r="A114" s="20">
        <f t="shared" si="59"/>
        <v>1900</v>
      </c>
      <c r="B114" s="21">
        <v>4.4768529231278995</v>
      </c>
      <c r="C114" s="29">
        <v>6.6244917993755665</v>
      </c>
      <c r="D114" s="21">
        <v>4.750351340610122</v>
      </c>
      <c r="E114" s="23">
        <v>6.730589486885722</v>
      </c>
      <c r="F114" s="21">
        <f t="shared" si="60"/>
        <v>0.27349841748222214</v>
      </c>
      <c r="G114" s="23">
        <f t="shared" si="57"/>
        <v>0.10609768751015558</v>
      </c>
      <c r="H114" s="21">
        <f t="shared" si="61"/>
        <v>0.057574355636417995</v>
      </c>
      <c r="I114" s="21">
        <f t="shared" si="58"/>
        <v>0.01576350596287035</v>
      </c>
    </row>
    <row r="115" spans="1:9" ht="15" customHeight="1">
      <c r="A115" s="20">
        <f t="shared" si="59"/>
        <v>1910</v>
      </c>
      <c r="B115" s="21">
        <v>4.399925777688254</v>
      </c>
      <c r="C115" s="29">
        <v>6.59077952588622</v>
      </c>
      <c r="D115" s="21">
        <v>4.746976882929677</v>
      </c>
      <c r="E115" s="23">
        <v>6.64432311641321</v>
      </c>
      <c r="F115" s="21">
        <f t="shared" si="60"/>
        <v>0.34705110524142313</v>
      </c>
      <c r="G115" s="23">
        <f t="shared" si="57"/>
        <v>0.053543590526989426</v>
      </c>
      <c r="H115" s="21">
        <f t="shared" si="61"/>
        <v>0.07310992107196332</v>
      </c>
      <c r="I115" s="21">
        <f t="shared" si="58"/>
        <v>0.008058547061734972</v>
      </c>
    </row>
    <row r="116" spans="1:9" ht="15" customHeight="1">
      <c r="A116" s="20">
        <f t="shared" si="59"/>
        <v>1920</v>
      </c>
      <c r="B116" s="21">
        <v>4.069466877711821</v>
      </c>
      <c r="C116" s="29">
        <v>3.434995554715314</v>
      </c>
      <c r="D116" s="21">
        <v>4.343660954779233</v>
      </c>
      <c r="E116" s="23">
        <v>3.110217210656437</v>
      </c>
      <c r="F116" s="21">
        <f t="shared" si="60"/>
        <v>0.2741940770674125</v>
      </c>
      <c r="G116" s="23">
        <f t="shared" si="57"/>
        <v>-0.32477834405887673</v>
      </c>
      <c r="H116" s="21">
        <f t="shared" si="61"/>
        <v>0.06312511034401128</v>
      </c>
      <c r="I116" s="21">
        <f t="shared" si="58"/>
        <v>-0.10442304252773701</v>
      </c>
    </row>
    <row r="117" spans="1:9" ht="15" customHeight="1">
      <c r="A117" s="20">
        <f t="shared" si="59"/>
        <v>1930</v>
      </c>
      <c r="B117" s="21">
        <v>4.8531715260506605</v>
      </c>
      <c r="C117" s="29">
        <v>3.862263673841133</v>
      </c>
      <c r="D117" s="21">
        <v>5.366034847862313</v>
      </c>
      <c r="E117" s="23">
        <v>3.7480577099484598</v>
      </c>
      <c r="F117" s="21">
        <f t="shared" si="60"/>
        <v>0.5128633218116523</v>
      </c>
      <c r="G117" s="23">
        <f t="shared" si="57"/>
        <v>-0.11420596389267335</v>
      </c>
      <c r="H117" s="21">
        <f t="shared" si="61"/>
        <v>0.09557584629103993</v>
      </c>
      <c r="I117" s="21">
        <f t="shared" si="58"/>
        <v>-0.03047070582438919</v>
      </c>
    </row>
    <row r="118" spans="1:9" ht="15" customHeight="1">
      <c r="A118" s="20">
        <f t="shared" si="59"/>
        <v>1940</v>
      </c>
      <c r="B118" s="21">
        <v>3.278740970877382</v>
      </c>
      <c r="C118" s="29">
        <v>3.275649106894995</v>
      </c>
      <c r="D118" s="21">
        <v>3.5027993542478577</v>
      </c>
      <c r="E118" s="23">
        <v>2.774209403050675</v>
      </c>
      <c r="F118" s="21">
        <f t="shared" si="60"/>
        <v>0.22405838337047568</v>
      </c>
      <c r="G118" s="23">
        <f t="shared" si="57"/>
        <v>-0.5014397038443201</v>
      </c>
      <c r="H118" s="21">
        <f t="shared" si="61"/>
        <v>0.063965520348392</v>
      </c>
      <c r="I118" s="21">
        <f t="shared" si="58"/>
        <v>-0.18075048815453842</v>
      </c>
    </row>
    <row r="119" spans="1:9" ht="15" customHeight="1">
      <c r="A119" s="20">
        <f t="shared" si="59"/>
        <v>1950</v>
      </c>
      <c r="B119" s="21">
        <v>3.561576669156209</v>
      </c>
      <c r="C119" s="29">
        <v>2.3234388423458228</v>
      </c>
      <c r="D119" s="21">
        <v>3.8449814897586494</v>
      </c>
      <c r="E119" s="23">
        <v>2.485968171466547</v>
      </c>
      <c r="F119" s="21">
        <f t="shared" si="60"/>
        <v>0.2834048206024402</v>
      </c>
      <c r="G119" s="23">
        <f t="shared" si="57"/>
        <v>0.16252932912072415</v>
      </c>
      <c r="H119" s="21">
        <f t="shared" si="61"/>
        <v>0.07370772040315586</v>
      </c>
      <c r="I119" s="21">
        <f t="shared" si="58"/>
        <v>0.06537868464536424</v>
      </c>
    </row>
    <row r="120" spans="1:9" ht="15" customHeight="1">
      <c r="A120" s="20">
        <f t="shared" si="59"/>
        <v>1960</v>
      </c>
      <c r="B120" s="21">
        <v>3.614977069424808</v>
      </c>
      <c r="C120" s="29">
        <v>2.673018022803605</v>
      </c>
      <c r="D120" s="21">
        <v>4.090936458245517</v>
      </c>
      <c r="E120" s="23">
        <v>3.00539438170291</v>
      </c>
      <c r="F120" s="21">
        <f t="shared" si="60"/>
        <v>0.47595938882070943</v>
      </c>
      <c r="G120" s="23">
        <f t="shared" si="57"/>
        <v>0.33237635889930495</v>
      </c>
      <c r="H120" s="21">
        <f t="shared" si="61"/>
        <v>0.1163448500553916</v>
      </c>
      <c r="I120" s="21">
        <f t="shared" si="58"/>
        <v>0.1105932588823749</v>
      </c>
    </row>
    <row r="121" spans="1:9" ht="15" customHeight="1">
      <c r="A121" s="20">
        <f t="shared" si="59"/>
        <v>1970</v>
      </c>
      <c r="B121" s="21">
        <v>3.3197765398596837</v>
      </c>
      <c r="C121" s="29">
        <v>2.8511052977721274</v>
      </c>
      <c r="D121" s="21">
        <v>4.001472511438725</v>
      </c>
      <c r="E121" s="23">
        <v>3.2224407516040845</v>
      </c>
      <c r="F121" s="21">
        <f t="shared" si="60"/>
        <v>0.6816959715790412</v>
      </c>
      <c r="G121" s="23">
        <f t="shared" si="57"/>
        <v>0.3713354538319571</v>
      </c>
      <c r="H121" s="21">
        <f t="shared" si="61"/>
        <v>0.17036127816205793</v>
      </c>
      <c r="I121" s="21">
        <f t="shared" si="58"/>
        <v>0.11523422227301205</v>
      </c>
    </row>
    <row r="122" spans="1:9" ht="15" customHeight="1">
      <c r="A122" s="20">
        <f t="shared" si="59"/>
        <v>1980</v>
      </c>
      <c r="B122" s="21">
        <v>3.57095031363594</v>
      </c>
      <c r="C122" s="29">
        <v>3.3115208947461983</v>
      </c>
      <c r="D122" s="21">
        <v>4.175080835023797</v>
      </c>
      <c r="E122" s="23">
        <v>3.713292523729368</v>
      </c>
      <c r="F122" s="21">
        <f t="shared" si="60"/>
        <v>0.604130521387857</v>
      </c>
      <c r="G122" s="23">
        <f t="shared" si="57"/>
        <v>0.40177162898316965</v>
      </c>
      <c r="H122" s="21">
        <f t="shared" si="61"/>
        <v>0.14469911967211374</v>
      </c>
      <c r="I122" s="21">
        <f t="shared" si="58"/>
        <v>0.10819821665427498</v>
      </c>
    </row>
    <row r="123" spans="1:9" ht="15" customHeight="1">
      <c r="A123" s="20">
        <f t="shared" si="59"/>
        <v>1990</v>
      </c>
      <c r="B123" s="21">
        <v>3.92308528817249</v>
      </c>
      <c r="C123" s="29">
        <v>4.025684939128149</v>
      </c>
      <c r="D123" s="21">
        <v>4.18978233463939</v>
      </c>
      <c r="E123" s="23">
        <v>4.281187360861672</v>
      </c>
      <c r="F123" s="21">
        <f t="shared" si="60"/>
        <v>0.2666970464669003</v>
      </c>
      <c r="G123" s="23">
        <f t="shared" si="57"/>
        <v>0.25550242173352355</v>
      </c>
      <c r="H123" s="21">
        <f t="shared" si="61"/>
        <v>0.06365415316732786</v>
      </c>
      <c r="I123" s="21">
        <f t="shared" si="58"/>
        <v>0.059680270961581725</v>
      </c>
    </row>
    <row r="124" spans="1:9" ht="15" customHeight="1">
      <c r="A124" s="20">
        <f t="shared" si="59"/>
        <v>2000</v>
      </c>
      <c r="B124" s="21">
        <v>4.465608544749897</v>
      </c>
      <c r="C124" s="29">
        <v>4.900388745980692</v>
      </c>
      <c r="D124" s="21">
        <v>4.92051174968598</v>
      </c>
      <c r="E124" s="23">
        <v>4.990471245608314</v>
      </c>
      <c r="F124" s="21">
        <f t="shared" si="60"/>
        <v>0.45490320493608305</v>
      </c>
      <c r="G124" s="23">
        <f t="shared" si="57"/>
        <v>0.09008249962762171</v>
      </c>
      <c r="H124" s="21">
        <f t="shared" si="61"/>
        <v>0.09245038485379377</v>
      </c>
      <c r="I124" s="21">
        <f t="shared" si="58"/>
        <v>0.018050900444901995</v>
      </c>
    </row>
    <row r="125" spans="1:9" ht="15" customHeight="1" thickBot="1">
      <c r="A125" s="20">
        <f t="shared" si="59"/>
        <v>2010</v>
      </c>
      <c r="B125" s="24">
        <v>4.099218953934022</v>
      </c>
      <c r="C125" s="29">
        <v>5.448371371833821</v>
      </c>
      <c r="D125" s="24">
        <v>4.307576938287459</v>
      </c>
      <c r="E125" s="26">
        <v>5.533745632542254</v>
      </c>
      <c r="F125" s="24">
        <f t="shared" si="60"/>
        <v>0.20835798435343733</v>
      </c>
      <c r="G125" s="26">
        <f t="shared" si="57"/>
        <v>0.08537426070843246</v>
      </c>
      <c r="H125" s="21">
        <f t="shared" si="61"/>
        <v>0.04837011325357154</v>
      </c>
      <c r="I125" s="21">
        <f t="shared" si="58"/>
        <v>0.015427933695826698</v>
      </c>
    </row>
    <row r="126" ht="15" customHeight="1" thickTop="1"/>
  </sheetData>
  <sheetProtection/>
  <mergeCells count="9">
    <mergeCell ref="A3:F5"/>
    <mergeCell ref="A33:F35"/>
    <mergeCell ref="A76:F78"/>
    <mergeCell ref="G50:G51"/>
    <mergeCell ref="B109:C109"/>
    <mergeCell ref="H109:I109"/>
    <mergeCell ref="A108:D108"/>
    <mergeCell ref="D109:E109"/>
    <mergeCell ref="F109:G10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2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1"/>
  <sheetViews>
    <sheetView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00390625" defaultRowHeight="15.75"/>
  <cols>
    <col min="1" max="6" width="13.75390625" style="0" customWidth="1"/>
  </cols>
  <sheetData>
    <row r="1" ht="15.75" thickBot="1"/>
    <row r="2" spans="1:6" ht="49.5" customHeight="1" thickBot="1" thickTop="1">
      <c r="A2" s="170" t="s">
        <v>135</v>
      </c>
      <c r="B2" s="171"/>
      <c r="C2" s="171"/>
      <c r="D2" s="171"/>
      <c r="E2" s="171"/>
      <c r="F2" s="172"/>
    </row>
    <row r="3" spans="1:6" ht="19.5" customHeight="1" thickBot="1" thickTop="1">
      <c r="A3" s="70"/>
      <c r="B3" s="70"/>
      <c r="C3" s="70"/>
      <c r="D3" s="70"/>
      <c r="E3" s="70"/>
      <c r="F3" s="70"/>
    </row>
    <row r="4" spans="1:6" s="65" customFormat="1" ht="69.75" customHeight="1" thickBot="1" thickTop="1">
      <c r="A4" s="130" t="s">
        <v>131</v>
      </c>
      <c r="B4" s="130" t="s">
        <v>0</v>
      </c>
      <c r="C4" s="130" t="s">
        <v>132</v>
      </c>
      <c r="D4" s="130" t="s">
        <v>13</v>
      </c>
      <c r="E4" s="130" t="s">
        <v>133</v>
      </c>
      <c r="F4" s="130" t="s">
        <v>134</v>
      </c>
    </row>
    <row r="5" spans="1:8" ht="15.75" thickTop="1">
      <c r="A5" s="112">
        <v>1985</v>
      </c>
      <c r="B5" s="116">
        <v>-0.012004805989699247</v>
      </c>
      <c r="C5" s="116">
        <v>0.004965976791130668</v>
      </c>
      <c r="D5" s="116">
        <v>0.010442152820767658</v>
      </c>
      <c r="E5" s="116">
        <v>0.0034033236221990802</v>
      </c>
      <c r="F5" s="116"/>
      <c r="H5" s="66"/>
    </row>
    <row r="6" spans="1:8" ht="15">
      <c r="A6" s="87">
        <v>1986</v>
      </c>
      <c r="B6" s="124">
        <v>-0.009985442021175826</v>
      </c>
      <c r="C6" s="124">
        <v>-0.0018869563168744678</v>
      </c>
      <c r="D6" s="124">
        <v>0.012259608008380241</v>
      </c>
      <c r="E6" s="124">
        <v>0.00038720967032994727</v>
      </c>
      <c r="F6" s="124"/>
      <c r="H6" s="66"/>
    </row>
    <row r="7" spans="1:8" ht="15">
      <c r="A7" s="87">
        <v>1987</v>
      </c>
      <c r="B7" s="124">
        <v>-0.006317445824378196</v>
      </c>
      <c r="C7" s="124">
        <v>-0.0042433438063761725</v>
      </c>
      <c r="D7" s="124">
        <v>0.014404596248145423</v>
      </c>
      <c r="E7" s="124">
        <v>0.003843806617391055</v>
      </c>
      <c r="F7" s="124"/>
      <c r="H7" s="66"/>
    </row>
    <row r="8" spans="1:8" ht="15">
      <c r="A8" s="87">
        <v>1988</v>
      </c>
      <c r="B8" s="124">
        <v>-0.00677247894106427</v>
      </c>
      <c r="C8" s="124">
        <v>-0.008957772730682129</v>
      </c>
      <c r="D8" s="124">
        <v>0.015606267619854461</v>
      </c>
      <c r="E8" s="124">
        <v>-0.00012398405189193752</v>
      </c>
      <c r="F8" s="124"/>
      <c r="H8" s="66"/>
    </row>
    <row r="9" spans="1:8" ht="15">
      <c r="A9" s="87">
        <v>1989</v>
      </c>
      <c r="B9" s="124">
        <v>-0.009801518393619684</v>
      </c>
      <c r="C9" s="124">
        <v>-0.012553472240961426</v>
      </c>
      <c r="D9" s="124">
        <v>0.014948773364686573</v>
      </c>
      <c r="E9" s="124">
        <v>-0.007406217269894537</v>
      </c>
      <c r="F9" s="124"/>
      <c r="H9" s="66"/>
    </row>
    <row r="10" spans="1:8" ht="15">
      <c r="A10" s="87">
        <v>1990</v>
      </c>
      <c r="B10" s="124">
        <v>-0.0147777560190214</v>
      </c>
      <c r="C10" s="124">
        <v>-0.010517120284416093</v>
      </c>
      <c r="D10" s="124">
        <v>0.01497660754589369</v>
      </c>
      <c r="E10" s="124">
        <v>-0.010318268757543802</v>
      </c>
      <c r="F10" s="124"/>
      <c r="H10" s="66"/>
    </row>
    <row r="11" spans="1:8" ht="15">
      <c r="A11" s="87">
        <v>1991</v>
      </c>
      <c r="B11" s="124">
        <v>-0.019148537771995103</v>
      </c>
      <c r="C11" s="124">
        <v>-0.01269447850616831</v>
      </c>
      <c r="D11" s="124">
        <v>0.016667806680679294</v>
      </c>
      <c r="E11" s="124">
        <v>-0.01517520959748412</v>
      </c>
      <c r="F11" s="124"/>
      <c r="H11" s="66"/>
    </row>
    <row r="12" spans="1:8" ht="15">
      <c r="A12" s="87">
        <v>1992</v>
      </c>
      <c r="B12" s="124">
        <v>-0.018874224110505662</v>
      </c>
      <c r="C12" s="124">
        <v>-0.016743561277149873</v>
      </c>
      <c r="D12" s="124">
        <v>0.020923045780163158</v>
      </c>
      <c r="E12" s="124">
        <v>-0.014694739607492378</v>
      </c>
      <c r="F12" s="124"/>
      <c r="H12" s="66"/>
    </row>
    <row r="13" spans="1:8" ht="15">
      <c r="A13" s="87">
        <v>1993</v>
      </c>
      <c r="B13" s="124">
        <v>-0.020845757698725088</v>
      </c>
      <c r="C13" s="124">
        <v>-0.011420012420651379</v>
      </c>
      <c r="D13" s="124">
        <v>0.024522033771866042</v>
      </c>
      <c r="E13" s="124">
        <v>-0.007743736347510424</v>
      </c>
      <c r="F13" s="124"/>
      <c r="H13" s="66"/>
    </row>
    <row r="14" spans="1:8" ht="15">
      <c r="A14" s="87">
        <v>1994</v>
      </c>
      <c r="B14" s="124">
        <v>-0.019279584584172955</v>
      </c>
      <c r="C14" s="124">
        <v>-0.01115486647144282</v>
      </c>
      <c r="D14" s="124">
        <v>0.025750400298520545</v>
      </c>
      <c r="E14" s="124">
        <v>-0.004684050757095231</v>
      </c>
      <c r="F14" s="124"/>
      <c r="H14" s="66"/>
    </row>
    <row r="15" spans="1:8" ht="15">
      <c r="A15" s="87">
        <v>1995</v>
      </c>
      <c r="B15" s="124">
        <v>-0.022429214701801436</v>
      </c>
      <c r="C15" s="124">
        <v>-0.014488148897157037</v>
      </c>
      <c r="D15" s="124">
        <v>0.027534683890597468</v>
      </c>
      <c r="E15" s="124">
        <v>-0.009382679708361005</v>
      </c>
      <c r="F15" s="124"/>
      <c r="H15" s="66"/>
    </row>
    <row r="16" spans="1:8" ht="15">
      <c r="A16" s="87">
        <v>1996</v>
      </c>
      <c r="B16" s="124">
        <v>-0.02142011751525393</v>
      </c>
      <c r="C16" s="124">
        <v>-0.015284913238261767</v>
      </c>
      <c r="D16" s="124">
        <v>0.029393775159325446</v>
      </c>
      <c r="E16" s="124">
        <v>-0.00731125559419025</v>
      </c>
      <c r="F16" s="124"/>
      <c r="H16" s="66"/>
    </row>
    <row r="17" spans="1:8" ht="15">
      <c r="A17" s="87">
        <v>1997</v>
      </c>
      <c r="B17" s="124">
        <v>-0.015351018472534683</v>
      </c>
      <c r="C17" s="124">
        <v>-0.026019420009682267</v>
      </c>
      <c r="D17" s="124">
        <v>0.03173038774386598</v>
      </c>
      <c r="E17" s="124">
        <v>-0.009640050738350968</v>
      </c>
      <c r="F17" s="124"/>
      <c r="H17" s="66"/>
    </row>
    <row r="18" spans="1:8" ht="15">
      <c r="A18" s="87">
        <v>1998</v>
      </c>
      <c r="B18" s="124">
        <v>-0.030543201851203086</v>
      </c>
      <c r="C18" s="124">
        <v>-0.028539621021681828</v>
      </c>
      <c r="D18" s="124">
        <v>0.038332006457663076</v>
      </c>
      <c r="E18" s="124">
        <v>-0.020750816415221838</v>
      </c>
      <c r="F18" s="124"/>
      <c r="H18" s="66"/>
    </row>
    <row r="19" spans="1:8" ht="15">
      <c r="A19" s="87">
        <v>1999</v>
      </c>
      <c r="B19" s="124">
        <v>-0.02834946738246586</v>
      </c>
      <c r="C19" s="124">
        <v>-0.023428517064085722</v>
      </c>
      <c r="D19" s="124">
        <v>0.026570453302355482</v>
      </c>
      <c r="E19" s="124">
        <v>-0.0252075311441961</v>
      </c>
      <c r="F19" s="124"/>
      <c r="H19" s="66"/>
    </row>
    <row r="20" spans="1:8" ht="15">
      <c r="A20" s="87">
        <v>2000</v>
      </c>
      <c r="B20" s="124">
        <v>-0.02312134882931815</v>
      </c>
      <c r="C20" s="124">
        <v>-0.04150965916416191</v>
      </c>
      <c r="D20" s="124">
        <v>0.035949948306175025</v>
      </c>
      <c r="E20" s="124">
        <v>-0.028681059687305034</v>
      </c>
      <c r="F20" s="124"/>
      <c r="H20" s="66"/>
    </row>
    <row r="21" spans="1:8" ht="15">
      <c r="A21" s="87">
        <v>2001</v>
      </c>
      <c r="B21" s="124">
        <v>-0.01723548714351171</v>
      </c>
      <c r="C21" s="124">
        <v>-0.05857878490513193</v>
      </c>
      <c r="D21" s="124">
        <v>0.04249055351575408</v>
      </c>
      <c r="E21" s="124">
        <v>-0.03332371853288956</v>
      </c>
      <c r="F21" s="124">
        <v>0.07910253075015379</v>
      </c>
      <c r="H21" s="66"/>
    </row>
    <row r="22" spans="1:8" ht="15">
      <c r="A22" s="87">
        <v>2002</v>
      </c>
      <c r="B22" s="124">
        <v>-0.02885719354371126</v>
      </c>
      <c r="C22" s="124">
        <v>-0.06144845204889212</v>
      </c>
      <c r="D22" s="124">
        <v>0.043941872328157654</v>
      </c>
      <c r="E22" s="124">
        <v>-0.046363773264445726</v>
      </c>
      <c r="F22" s="124">
        <v>0.07188854851292703</v>
      </c>
      <c r="H22" s="66"/>
    </row>
    <row r="23" spans="1:8" ht="15">
      <c r="A23" s="87">
        <v>2003</v>
      </c>
      <c r="B23" s="124">
        <v>-0.0332219337968315</v>
      </c>
      <c r="C23" s="124">
        <v>-0.05591299821996053</v>
      </c>
      <c r="D23" s="124">
        <v>0.0430901825581375</v>
      </c>
      <c r="E23" s="124">
        <v>-0.04604474945865453</v>
      </c>
      <c r="F23" s="124">
        <v>0.07631196903781055</v>
      </c>
      <c r="H23" s="66"/>
    </row>
    <row r="24" spans="1:8" ht="15">
      <c r="A24" s="87">
        <v>2004</v>
      </c>
      <c r="B24" s="124">
        <v>-0.039904661158082944</v>
      </c>
      <c r="C24" s="124">
        <v>-0.053393875083014776</v>
      </c>
      <c r="D24" s="124">
        <v>0.04228922979024999</v>
      </c>
      <c r="E24" s="124">
        <v>-0.05100930645084773</v>
      </c>
      <c r="F24" s="124">
        <v>0.0785856237356609</v>
      </c>
      <c r="H24" s="66"/>
    </row>
    <row r="25" spans="1:8" ht="15">
      <c r="A25" s="87">
        <v>2005</v>
      </c>
      <c r="B25" s="124">
        <v>-0.028095413836121352</v>
      </c>
      <c r="C25" s="124">
        <v>-0.04234310569905559</v>
      </c>
      <c r="D25" s="124">
        <v>0.03356806162909842</v>
      </c>
      <c r="E25" s="124">
        <v>-0.03687045790607852</v>
      </c>
      <c r="F25" s="124">
        <v>0.08055171083955698</v>
      </c>
      <c r="H25" s="66"/>
    </row>
    <row r="26" spans="1:8" ht="15">
      <c r="A26" s="87">
        <v>2006</v>
      </c>
      <c r="B26" s="124">
        <v>-0.039953695577458384</v>
      </c>
      <c r="C26" s="124">
        <v>-0.04431164624951508</v>
      </c>
      <c r="D26" s="124">
        <v>0.036558106311125306</v>
      </c>
      <c r="E26" s="124">
        <v>-0.047707235515848156</v>
      </c>
      <c r="F26" s="124">
        <v>0.0760211262877047</v>
      </c>
      <c r="H26" s="66"/>
    </row>
    <row r="27" spans="1:8" ht="15">
      <c r="A27" s="87">
        <v>2007</v>
      </c>
      <c r="B27" s="124">
        <v>-0.04205738417599736</v>
      </c>
      <c r="C27" s="124">
        <v>-0.0321557614103625</v>
      </c>
      <c r="D27" s="124">
        <v>0.03929797393827008</v>
      </c>
      <c r="E27" s="124">
        <v>-0.03491517164808978</v>
      </c>
      <c r="F27" s="124">
        <v>0.09187150038836475</v>
      </c>
      <c r="H27" s="66"/>
    </row>
    <row r="28" spans="1:8" ht="15.75" thickBot="1">
      <c r="A28" s="88">
        <v>2008</v>
      </c>
      <c r="B28" s="129">
        <v>-0.037720289395050295</v>
      </c>
      <c r="C28" s="129">
        <v>-0.053114676485869775</v>
      </c>
      <c r="D28" s="129">
        <v>0.040484726714061524</v>
      </c>
      <c r="E28" s="129">
        <v>-0.050350239166858546</v>
      </c>
      <c r="F28" s="129">
        <v>0.07315096558651149</v>
      </c>
      <c r="H28" s="66"/>
    </row>
    <row r="29" ht="15.75" thickTop="1"/>
    <row r="31" ht="15">
      <c r="A31" t="s">
        <v>130</v>
      </c>
    </row>
  </sheetData>
  <sheetProtection/>
  <mergeCells count="1">
    <mergeCell ref="A2:F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"/>
    </sheetView>
  </sheetViews>
  <sheetFormatPr defaultColWidth="10.375" defaultRowHeight="15.75"/>
  <cols>
    <col min="1" max="16384" width="10.375" style="37" customWidth="1"/>
  </cols>
  <sheetData>
    <row r="1" ht="12.75">
      <c r="A1" s="38" t="s">
        <v>129</v>
      </c>
    </row>
    <row r="3" spans="2:7" ht="12.75">
      <c r="B3" s="173" t="s">
        <v>22</v>
      </c>
      <c r="C3" s="174"/>
      <c r="D3" s="175"/>
      <c r="E3" s="176" t="s">
        <v>23</v>
      </c>
      <c r="F3" s="177"/>
      <c r="G3" s="178"/>
    </row>
    <row r="4" spans="2:7" ht="12.75">
      <c r="B4" s="39" t="s">
        <v>24</v>
      </c>
      <c r="C4" s="40"/>
      <c r="D4" s="41"/>
      <c r="E4" s="39"/>
      <c r="F4" s="40"/>
      <c r="G4" s="41"/>
    </row>
    <row r="5" spans="2:7" ht="12.75">
      <c r="B5" s="39"/>
      <c r="C5" s="40"/>
      <c r="D5" s="41"/>
      <c r="E5" s="39"/>
      <c r="F5" s="40"/>
      <c r="G5" s="41"/>
    </row>
    <row r="6" spans="2:7" ht="12.75">
      <c r="B6" s="42" t="s">
        <v>25</v>
      </c>
      <c r="C6" s="43" t="s">
        <v>26</v>
      </c>
      <c r="D6" s="44" t="s">
        <v>27</v>
      </c>
      <c r="E6" s="42" t="s">
        <v>28</v>
      </c>
      <c r="F6" s="43" t="s">
        <v>29</v>
      </c>
      <c r="G6" s="45" t="s">
        <v>30</v>
      </c>
    </row>
    <row r="7" spans="1:7" ht="12.75">
      <c r="A7" s="46" t="s">
        <v>31</v>
      </c>
      <c r="B7" s="47">
        <v>0.044</v>
      </c>
      <c r="C7" s="48">
        <v>0.15</v>
      </c>
      <c r="D7" s="49">
        <v>0.148</v>
      </c>
      <c r="E7" s="47">
        <f>((1+D7)*(1+C7)*(1+B7))^(1/3)-1</f>
        <v>0.11287591218613113</v>
      </c>
      <c r="F7" s="48">
        <f aca="true" t="shared" si="0" ref="F7:G9">((1+B7)*(1+C7))^(1/2)-1</f>
        <v>0.09571894206498044</v>
      </c>
      <c r="G7" s="49">
        <f t="shared" si="0"/>
        <v>0.14899956483890797</v>
      </c>
    </row>
    <row r="8" spans="1:7" ht="12.75">
      <c r="A8" s="46" t="s">
        <v>32</v>
      </c>
      <c r="B8" s="47">
        <v>0.034</v>
      </c>
      <c r="C8" s="48">
        <v>0.132</v>
      </c>
      <c r="D8" s="49">
        <v>0.134</v>
      </c>
      <c r="E8" s="47">
        <f>((1+D8)*(1+C8)*(1+B8))^(1/3)-1</f>
        <v>0.09898898620994223</v>
      </c>
      <c r="F8" s="48">
        <f t="shared" si="0"/>
        <v>0.0818909372020824</v>
      </c>
      <c r="G8" s="49">
        <f t="shared" si="0"/>
        <v>0.13299955869364743</v>
      </c>
    </row>
    <row r="9" spans="1:7" ht="12.75">
      <c r="A9" s="50" t="s">
        <v>33</v>
      </c>
      <c r="B9" s="47">
        <v>0.023</v>
      </c>
      <c r="C9" s="48">
        <v>0.021</v>
      </c>
      <c r="D9" s="49">
        <v>0.042</v>
      </c>
      <c r="E9" s="47">
        <f>((1+D9)*(1+C9)*(1+B9))^(1/3)-1</f>
        <v>0.028623317394421477</v>
      </c>
      <c r="F9" s="48">
        <f t="shared" si="0"/>
        <v>0.021999510763092145</v>
      </c>
      <c r="G9" s="49">
        <f t="shared" si="0"/>
        <v>0.03144655702561727</v>
      </c>
    </row>
    <row r="10" spans="1:7" ht="12.75">
      <c r="A10" s="46" t="s">
        <v>34</v>
      </c>
      <c r="B10" s="47">
        <f aca="true" t="shared" si="1" ref="B10:G10">(1+B7)/(1+B9)-1</f>
        <v>0.02052785923753686</v>
      </c>
      <c r="C10" s="48">
        <f t="shared" si="1"/>
        <v>0.12634671890303628</v>
      </c>
      <c r="D10" s="49">
        <f t="shared" si="1"/>
        <v>0.10172744721689053</v>
      </c>
      <c r="E10" s="47">
        <f t="shared" si="1"/>
        <v>0.08190811287957933</v>
      </c>
      <c r="F10" s="48">
        <f t="shared" si="1"/>
        <v>0.07213255048120759</v>
      </c>
      <c r="G10" s="49">
        <f t="shared" si="1"/>
        <v>0.11396907286430658</v>
      </c>
    </row>
    <row r="11" spans="1:7" ht="12.75">
      <c r="A11" s="46" t="s">
        <v>35</v>
      </c>
      <c r="B11" s="47">
        <f aca="true" t="shared" si="2" ref="B11:G11">(1+B8)/(1+B9)-1</f>
        <v>0.010752688172043223</v>
      </c>
      <c r="C11" s="48">
        <f t="shared" si="2"/>
        <v>0.10871694417238031</v>
      </c>
      <c r="D11" s="49">
        <f t="shared" si="2"/>
        <v>0.08829174664107464</v>
      </c>
      <c r="E11" s="47">
        <f t="shared" si="2"/>
        <v>0.068407615913046</v>
      </c>
      <c r="F11" s="48">
        <f t="shared" si="2"/>
        <v>0.05860220656492432</v>
      </c>
      <c r="G11" s="49">
        <f t="shared" si="2"/>
        <v>0.09845687202726094</v>
      </c>
    </row>
    <row r="12" spans="1:7" ht="12.75">
      <c r="A12" s="50"/>
      <c r="B12" s="47"/>
      <c r="C12" s="48"/>
      <c r="D12" s="49"/>
      <c r="E12" s="47"/>
      <c r="F12" s="48"/>
      <c r="G12" s="49"/>
    </row>
    <row r="13" spans="1:10" ht="12.75">
      <c r="A13" s="50" t="s">
        <v>36</v>
      </c>
      <c r="B13" s="47"/>
      <c r="C13" s="48"/>
      <c r="D13" s="49"/>
      <c r="E13" s="48"/>
      <c r="F13" s="48"/>
      <c r="G13" s="49"/>
      <c r="J13" s="64"/>
    </row>
    <row r="14" spans="1:7" ht="12.75">
      <c r="A14" s="50" t="s">
        <v>37</v>
      </c>
      <c r="B14" s="47">
        <v>0.05</v>
      </c>
      <c r="C14" s="48">
        <v>0.156</v>
      </c>
      <c r="D14" s="49">
        <v>0.156</v>
      </c>
      <c r="E14" s="48">
        <f>((1+D14)*(1+C14)*(1+B14))^(1/3)-1</f>
        <v>0.1195280749863652</v>
      </c>
      <c r="F14" s="48">
        <f aca="true" t="shared" si="3" ref="F14:G17">((1+B14)*(1+C14))^(1/2)-1</f>
        <v>0.10172591872933623</v>
      </c>
      <c r="G14" s="49">
        <f t="shared" si="3"/>
        <v>0.15599999999999992</v>
      </c>
    </row>
    <row r="15" spans="1:7" ht="12.75">
      <c r="A15" s="50" t="s">
        <v>38</v>
      </c>
      <c r="B15" s="47">
        <v>0.036</v>
      </c>
      <c r="C15" s="48">
        <v>0.14</v>
      </c>
      <c r="D15" s="49">
        <v>0.153</v>
      </c>
      <c r="E15" s="48">
        <f>((1+D15)*(1+C15)*(1+B15))^(1/3)-1</f>
        <v>0.10840371148751493</v>
      </c>
      <c r="F15" s="48">
        <f t="shared" si="3"/>
        <v>0.08675664249177695</v>
      </c>
      <c r="G15" s="49">
        <f t="shared" si="3"/>
        <v>0.14648157420867447</v>
      </c>
    </row>
    <row r="16" spans="1:10" ht="12.75">
      <c r="A16" s="50" t="s">
        <v>39</v>
      </c>
      <c r="B16" s="47">
        <v>0.033</v>
      </c>
      <c r="C16" s="48">
        <v>0.133</v>
      </c>
      <c r="D16" s="49">
        <v>0.141</v>
      </c>
      <c r="E16" s="48">
        <f>((1+D16)*(1+C16)*(1+B16))^(1/3)-1</f>
        <v>0.10121459474239658</v>
      </c>
      <c r="F16" s="48">
        <f t="shared" si="3"/>
        <v>0.08184518300910315</v>
      </c>
      <c r="G16" s="49">
        <f t="shared" si="3"/>
        <v>0.13699296391842286</v>
      </c>
      <c r="J16" s="64"/>
    </row>
    <row r="17" spans="1:7" ht="12.75">
      <c r="A17" s="50" t="s">
        <v>40</v>
      </c>
      <c r="B17" s="47">
        <v>0.029</v>
      </c>
      <c r="C17" s="48">
        <v>0.122</v>
      </c>
      <c r="D17" s="49">
        <v>0.128</v>
      </c>
      <c r="E17" s="48">
        <f>((1+D17)*(1+C17)*(1+B17))^(1/3)-1</f>
        <v>0.09204141854735615</v>
      </c>
      <c r="F17" s="48">
        <f t="shared" si="3"/>
        <v>0.07449429965914667</v>
      </c>
      <c r="G17" s="49">
        <f t="shared" si="3"/>
        <v>0.1249959999928889</v>
      </c>
    </row>
    <row r="18" spans="1:7" ht="12.75">
      <c r="A18" s="50"/>
      <c r="B18" s="47"/>
      <c r="C18" s="48"/>
      <c r="D18" s="49"/>
      <c r="E18" s="48"/>
      <c r="F18" s="48"/>
      <c r="G18" s="49"/>
    </row>
    <row r="19" spans="1:7" ht="12.75">
      <c r="A19" s="50" t="s">
        <v>41</v>
      </c>
      <c r="B19" s="47"/>
      <c r="C19" s="48"/>
      <c r="D19" s="49"/>
      <c r="E19" s="48"/>
      <c r="F19" s="48"/>
      <c r="G19" s="49"/>
    </row>
    <row r="20" spans="1:7" ht="12.75">
      <c r="A20" s="50" t="s">
        <v>37</v>
      </c>
      <c r="B20" s="47">
        <f aca="true" t="shared" si="4" ref="B20:G23">(1+B14)/(1+B$9)-1</f>
        <v>0.026392961876833043</v>
      </c>
      <c r="C20" s="48">
        <f t="shared" si="4"/>
        <v>0.13222331047992175</v>
      </c>
      <c r="D20" s="49">
        <f t="shared" si="4"/>
        <v>0.10940499040307095</v>
      </c>
      <c r="E20" s="48">
        <f t="shared" si="4"/>
        <v>0.08837516713330218</v>
      </c>
      <c r="F20" s="48">
        <f t="shared" si="4"/>
        <v>0.07801022126391732</v>
      </c>
      <c r="G20" s="49">
        <f t="shared" si="4"/>
        <v>0.1207560800179095</v>
      </c>
    </row>
    <row r="21" spans="1:7" ht="12.75">
      <c r="A21" s="50" t="s">
        <v>38</v>
      </c>
      <c r="B21" s="47">
        <f t="shared" si="4"/>
        <v>0.01270772238514195</v>
      </c>
      <c r="C21" s="48">
        <f t="shared" si="4"/>
        <v>0.11655239960822739</v>
      </c>
      <c r="D21" s="49">
        <f t="shared" si="4"/>
        <v>0.10652591170825332</v>
      </c>
      <c r="E21" s="48">
        <f t="shared" si="4"/>
        <v>0.07756035931130079</v>
      </c>
      <c r="F21" s="48">
        <f t="shared" si="4"/>
        <v>0.06336317292396054</v>
      </c>
      <c r="G21" s="49">
        <f t="shared" si="4"/>
        <v>0.11152785027930445</v>
      </c>
    </row>
    <row r="22" spans="1:7" ht="12.75">
      <c r="A22" s="50" t="s">
        <v>39</v>
      </c>
      <c r="B22" s="47">
        <f t="shared" si="4"/>
        <v>0.009775171065493637</v>
      </c>
      <c r="C22" s="48">
        <f t="shared" si="4"/>
        <v>0.109696376101861</v>
      </c>
      <c r="D22" s="49">
        <f t="shared" si="4"/>
        <v>0.09500959692898281</v>
      </c>
      <c r="E22" s="48">
        <f t="shared" si="4"/>
        <v>0.0705712928342459</v>
      </c>
      <c r="F22" s="48">
        <f t="shared" si="4"/>
        <v>0.05855743727443308</v>
      </c>
      <c r="G22" s="49">
        <f t="shared" si="4"/>
        <v>0.1023285270321419</v>
      </c>
    </row>
    <row r="23" spans="1:7" ht="12.75">
      <c r="A23" s="50" t="s">
        <v>40</v>
      </c>
      <c r="B23" s="47">
        <f t="shared" si="4"/>
        <v>0.0058651026392961825</v>
      </c>
      <c r="C23" s="48">
        <f t="shared" si="4"/>
        <v>0.09892262487757097</v>
      </c>
      <c r="D23" s="49">
        <f t="shared" si="4"/>
        <v>0.08253358925143961</v>
      </c>
      <c r="E23" s="48">
        <f t="shared" si="4"/>
        <v>0.0616533769753318</v>
      </c>
      <c r="F23" s="48">
        <f t="shared" si="4"/>
        <v>0.05136478867476013</v>
      </c>
      <c r="G23" s="49">
        <f t="shared" si="4"/>
        <v>0.09069732438396061</v>
      </c>
    </row>
    <row r="24" spans="1:7" ht="12.75">
      <c r="A24" s="50"/>
      <c r="B24" s="47"/>
      <c r="C24" s="48"/>
      <c r="D24" s="49"/>
      <c r="E24" s="48"/>
      <c r="F24" s="48"/>
      <c r="G24" s="49"/>
    </row>
    <row r="25" spans="1:7" ht="12.75">
      <c r="A25" s="51" t="s">
        <v>36</v>
      </c>
      <c r="B25" s="39"/>
      <c r="C25" s="40"/>
      <c r="D25" s="41"/>
      <c r="E25" s="48"/>
      <c r="F25" s="48"/>
      <c r="G25" s="49"/>
    </row>
    <row r="26" spans="1:7" ht="12.75">
      <c r="A26" s="51" t="s">
        <v>42</v>
      </c>
      <c r="B26" s="47">
        <v>0.0705752585652415</v>
      </c>
      <c r="C26" s="52">
        <v>0.16975349916532312</v>
      </c>
      <c r="D26" s="53">
        <v>0.1466820160368647</v>
      </c>
      <c r="E26" s="48">
        <f>((1+D26)*(1+C26)*(1+B26))^(1/3)-1</f>
        <v>0.12819677060967938</v>
      </c>
      <c r="F26" s="48">
        <f aca="true" t="shared" si="5" ref="F26:G28">((1+B26)*(1+C26))^(1/2)-1</f>
        <v>0.11906619769632565</v>
      </c>
      <c r="G26" s="49">
        <f t="shared" si="5"/>
        <v>0.15816030871769637</v>
      </c>
    </row>
    <row r="27" spans="1:7" ht="12.75">
      <c r="A27" s="51" t="s">
        <v>43</v>
      </c>
      <c r="B27" s="47">
        <v>0.089</v>
      </c>
      <c r="C27" s="52">
        <v>0.175</v>
      </c>
      <c r="D27" s="49">
        <f>D14</f>
        <v>0.156</v>
      </c>
      <c r="E27" s="48">
        <f>((1+D27)*(1+C27)*(1+B27))^(1/3)-1</f>
        <v>0.13939557063085828</v>
      </c>
      <c r="F27" s="48">
        <f t="shared" si="5"/>
        <v>0.1311830090661723</v>
      </c>
      <c r="G27" s="49">
        <f t="shared" si="5"/>
        <v>0.16546128206817756</v>
      </c>
    </row>
    <row r="28" spans="1:7" ht="12.75">
      <c r="A28" s="51" t="s">
        <v>44</v>
      </c>
      <c r="B28" s="47">
        <v>0.079</v>
      </c>
      <c r="C28" s="52">
        <v>0.168</v>
      </c>
      <c r="D28" s="49">
        <f>D14</f>
        <v>0.156</v>
      </c>
      <c r="E28" s="48">
        <f>((1+D28)*(1+C28)*(1+B28))^(1/3)-1</f>
        <v>0.13363707414374204</v>
      </c>
      <c r="F28" s="48">
        <f t="shared" si="5"/>
        <v>0.12261836792384617</v>
      </c>
      <c r="G28" s="49">
        <f t="shared" si="5"/>
        <v>0.1619845093631842</v>
      </c>
    </row>
    <row r="29" spans="2:7" ht="12.75">
      <c r="B29" s="39"/>
      <c r="C29" s="40"/>
      <c r="D29" s="41"/>
      <c r="G29" s="41"/>
    </row>
    <row r="30" spans="1:7" ht="12.75">
      <c r="A30" s="51" t="s">
        <v>41</v>
      </c>
      <c r="B30" s="39"/>
      <c r="C30" s="40"/>
      <c r="D30" s="41"/>
      <c r="E30" s="48"/>
      <c r="F30" s="48"/>
      <c r="G30" s="49"/>
    </row>
    <row r="31" spans="1:7" ht="12.75">
      <c r="A31" s="51" t="s">
        <v>42</v>
      </c>
      <c r="B31" s="47">
        <f aca="true" t="shared" si="6" ref="B31:D33">(1+B26)/(1+B$9)-1</f>
        <v>0.04650562909603284</v>
      </c>
      <c r="C31" s="52">
        <f t="shared" si="6"/>
        <v>0.14569392670452808</v>
      </c>
      <c r="D31" s="53">
        <f t="shared" si="6"/>
        <v>0.10046258736743252</v>
      </c>
      <c r="E31" s="48">
        <f>((1+D31)*(1+C31)*(1+B31))^(1/3)-1</f>
        <v>0.0968026405112854</v>
      </c>
      <c r="F31" s="48">
        <f aca="true" t="shared" si="7" ref="F31:G33">((1+B31)*(1+C31))^(1/2)-1</f>
        <v>0.09497723424618565</v>
      </c>
      <c r="G31" s="49">
        <f t="shared" si="7"/>
        <v>0.12285052563216015</v>
      </c>
    </row>
    <row r="32" spans="1:7" ht="12.75">
      <c r="A32" s="51" t="s">
        <v>43</v>
      </c>
      <c r="B32" s="47">
        <f t="shared" si="6"/>
        <v>0.06451612903225823</v>
      </c>
      <c r="C32" s="48">
        <f t="shared" si="6"/>
        <v>0.15083251714005885</v>
      </c>
      <c r="D32" s="49">
        <f t="shared" si="6"/>
        <v>0.10940499040307095</v>
      </c>
      <c r="E32" s="48">
        <f>((1+D32)*(1+C32)*(1+B32))^(1/3)-1</f>
        <v>0.10768981352379892</v>
      </c>
      <c r="F32" s="48">
        <f t="shared" si="7"/>
        <v>0.10683321973564985</v>
      </c>
      <c r="G32" s="49">
        <f t="shared" si="7"/>
        <v>0.12992890822091496</v>
      </c>
    </row>
    <row r="33" spans="1:7" ht="12.75">
      <c r="A33" s="51" t="s">
        <v>44</v>
      </c>
      <c r="B33" s="47">
        <f t="shared" si="6"/>
        <v>0.05474095796676437</v>
      </c>
      <c r="C33" s="48">
        <f t="shared" si="6"/>
        <v>0.14397649363369247</v>
      </c>
      <c r="D33" s="49">
        <f t="shared" si="6"/>
        <v>0.10940499040307095</v>
      </c>
      <c r="E33" s="48">
        <f>((1+D33)*(1+C33)*(1+B33))^(1/3)-1</f>
        <v>0.10209155769026124</v>
      </c>
      <c r="F33" s="48">
        <f t="shared" si="7"/>
        <v>0.0984529406336263</v>
      </c>
      <c r="G33" s="49">
        <f t="shared" si="7"/>
        <v>0.12655813473651922</v>
      </c>
    </row>
    <row r="35" ht="12.75">
      <c r="A35" s="55" t="s">
        <v>47</v>
      </c>
    </row>
    <row r="36" ht="12.75">
      <c r="A36" s="54" t="s">
        <v>45</v>
      </c>
    </row>
    <row r="37" ht="12.75">
      <c r="A37" s="37" t="s">
        <v>46</v>
      </c>
    </row>
    <row r="39" ht="12.75">
      <c r="A39" s="38" t="s">
        <v>86</v>
      </c>
    </row>
    <row r="40" spans="2:4" ht="12.75">
      <c r="B40" s="42" t="s">
        <v>25</v>
      </c>
      <c r="C40" s="43" t="s">
        <v>26</v>
      </c>
      <c r="D40" s="44" t="s">
        <v>27</v>
      </c>
    </row>
    <row r="41" spans="1:4" ht="12.75">
      <c r="A41" s="50" t="s">
        <v>33</v>
      </c>
      <c r="B41" s="47">
        <v>0.028</v>
      </c>
      <c r="C41" s="48">
        <v>0.029</v>
      </c>
      <c r="D41" s="49">
        <v>0.044</v>
      </c>
    </row>
    <row r="42" spans="1:4" ht="12.75">
      <c r="A42" s="63" t="s">
        <v>85</v>
      </c>
      <c r="B42" s="47">
        <v>0.023</v>
      </c>
      <c r="C42" s="48">
        <v>0.021</v>
      </c>
      <c r="D42" s="49">
        <v>0.042</v>
      </c>
    </row>
  </sheetData>
  <sheetProtection/>
  <mergeCells count="2">
    <mergeCell ref="B3:D3"/>
    <mergeCell ref="E3:G3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t.piketty</dc:creator>
  <cp:keywords/>
  <dc:description/>
  <cp:lastModifiedBy>Thomas Piketty</cp:lastModifiedBy>
  <cp:lastPrinted>2013-07-23T17:11:56Z</cp:lastPrinted>
  <dcterms:created xsi:type="dcterms:W3CDTF">2012-12-17T09:50:54Z</dcterms:created>
  <dcterms:modified xsi:type="dcterms:W3CDTF">2013-07-30T13:52:46Z</dcterms:modified>
  <cp:category/>
  <cp:version/>
  <cp:contentType/>
  <cp:contentStatus/>
</cp:coreProperties>
</file>